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19E0\"/>
    </mc:Choice>
  </mc:AlternateContent>
  <bookViews>
    <workbookView xWindow="0" yWindow="0" windowWidth="19305" windowHeight="8085"/>
  </bookViews>
  <sheets>
    <sheet name="CT19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4" i="1" l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" i="1"/>
  <c r="Z24" i="1"/>
  <c r="AE24" i="1"/>
  <c r="AC9" i="1"/>
  <c r="G3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H22" i="1" s="1"/>
  <c r="F2" i="1"/>
  <c r="H15" i="1" l="1"/>
  <c r="H14" i="1"/>
  <c r="H6" i="1"/>
  <c r="H18" i="1"/>
  <c r="H10" i="1"/>
  <c r="H21" i="1"/>
  <c r="H17" i="1"/>
  <c r="H13" i="1"/>
  <c r="H9" i="1"/>
  <c r="H5" i="1"/>
  <c r="H2" i="1"/>
  <c r="H7" i="1"/>
  <c r="H20" i="1"/>
  <c r="H16" i="1"/>
  <c r="H12" i="1"/>
  <c r="H8" i="1"/>
  <c r="H4" i="1"/>
  <c r="H19" i="1"/>
  <c r="H11" i="1"/>
  <c r="H3" i="1"/>
  <c r="AC3" i="1" l="1"/>
  <c r="AC4" i="1"/>
  <c r="AC5" i="1"/>
  <c r="AC6" i="1"/>
  <c r="AC7" i="1"/>
  <c r="AC8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" i="1"/>
  <c r="AG9" i="1" l="1"/>
  <c r="AD6" i="1" l="1"/>
  <c r="AD10" i="1"/>
  <c r="AD12" i="1"/>
  <c r="AD16" i="1"/>
  <c r="AD4" i="1"/>
  <c r="AD20" i="1"/>
  <c r="AD8" i="1"/>
  <c r="AD17" i="1"/>
  <c r="AD15" i="1"/>
  <c r="AD7" i="1"/>
  <c r="AD18" i="1"/>
  <c r="AD13" i="1"/>
  <c r="AD5" i="1"/>
  <c r="AD19" i="1"/>
  <c r="AD11" i="1"/>
  <c r="AD21" i="1"/>
  <c r="AD9" i="1"/>
  <c r="AD2" i="1"/>
  <c r="AD3" i="1"/>
  <c r="AD14" i="1"/>
  <c r="G17" i="1"/>
  <c r="G18" i="1"/>
  <c r="G19" i="1"/>
  <c r="G20" i="1"/>
  <c r="G21" i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22" i="1"/>
  <c r="G2" i="1"/>
  <c r="I2" i="1" l="1"/>
  <c r="AG3" i="1" l="1"/>
  <c r="K12" i="1" s="1"/>
  <c r="L12" i="1" l="1"/>
  <c r="M12" i="1"/>
  <c r="Z12" i="1" s="1"/>
  <c r="K14" i="1"/>
  <c r="K9" i="1"/>
  <c r="K17" i="1"/>
  <c r="K20" i="1"/>
  <c r="K21" i="1"/>
  <c r="K19" i="1"/>
  <c r="K18" i="1"/>
  <c r="K3" i="1"/>
  <c r="K16" i="1"/>
  <c r="K13" i="1"/>
  <c r="K15" i="1"/>
  <c r="K22" i="1"/>
  <c r="K2" i="1"/>
  <c r="K6" i="1"/>
  <c r="K7" i="1"/>
  <c r="K4" i="1"/>
  <c r="K5" i="1"/>
  <c r="K10" i="1"/>
  <c r="K11" i="1"/>
  <c r="K8" i="1"/>
  <c r="O12" i="1" l="1"/>
  <c r="Q12" i="1" s="1"/>
  <c r="N12" i="1"/>
  <c r="AA12" i="1" s="1"/>
  <c r="L4" i="1"/>
  <c r="M4" i="1"/>
  <c r="Z4" i="1" s="1"/>
  <c r="L20" i="1"/>
  <c r="M20" i="1"/>
  <c r="Z20" i="1" s="1"/>
  <c r="L8" i="1"/>
  <c r="M8" i="1"/>
  <c r="Z8" i="1" s="1"/>
  <c r="L3" i="1"/>
  <c r="M3" i="1"/>
  <c r="L7" i="1"/>
  <c r="M7" i="1"/>
  <c r="Z7" i="1" s="1"/>
  <c r="L18" i="1"/>
  <c r="M18" i="1"/>
  <c r="Z18" i="1" s="1"/>
  <c r="L10" i="1"/>
  <c r="M10" i="1"/>
  <c r="Z10" i="1" s="1"/>
  <c r="L19" i="1"/>
  <c r="M19" i="1"/>
  <c r="Z19" i="1" s="1"/>
  <c r="L22" i="1"/>
  <c r="M22" i="1"/>
  <c r="L11" i="1"/>
  <c r="M11" i="1"/>
  <c r="Z11" i="1" s="1"/>
  <c r="L15" i="1"/>
  <c r="M15" i="1"/>
  <c r="Z15" i="1" s="1"/>
  <c r="L17" i="1"/>
  <c r="M17" i="1"/>
  <c r="Z17" i="1" s="1"/>
  <c r="L6" i="1"/>
  <c r="M6" i="1"/>
  <c r="Z6" i="1" s="1"/>
  <c r="L13" i="1"/>
  <c r="M13" i="1"/>
  <c r="Z13" i="1" s="1"/>
  <c r="L9" i="1"/>
  <c r="M9" i="1"/>
  <c r="Z9" i="1" s="1"/>
  <c r="L5" i="1"/>
  <c r="M5" i="1"/>
  <c r="Z5" i="1" s="1"/>
  <c r="M2" i="1"/>
  <c r="L16" i="1"/>
  <c r="M16" i="1"/>
  <c r="Z16" i="1" s="1"/>
  <c r="L21" i="1"/>
  <c r="M21" i="1"/>
  <c r="Z21" i="1" s="1"/>
  <c r="L14" i="1"/>
  <c r="M14" i="1"/>
  <c r="Z14" i="1" s="1"/>
  <c r="L2" i="1"/>
  <c r="T12" i="1"/>
  <c r="O3" i="1" l="1"/>
  <c r="Z3" i="1"/>
  <c r="T2" i="1"/>
  <c r="Z2" i="1"/>
  <c r="U12" i="1"/>
  <c r="O21" i="1"/>
  <c r="N21" i="1"/>
  <c r="AA21" i="1" s="1"/>
  <c r="O2" i="1"/>
  <c r="N2" i="1"/>
  <c r="U2" i="1" s="1"/>
  <c r="O5" i="1"/>
  <c r="N5" i="1"/>
  <c r="AA5" i="1" s="1"/>
  <c r="O13" i="1"/>
  <c r="N13" i="1"/>
  <c r="AA13" i="1" s="1"/>
  <c r="O17" i="1"/>
  <c r="N17" i="1"/>
  <c r="AA17" i="1" s="1"/>
  <c r="O11" i="1"/>
  <c r="N11" i="1"/>
  <c r="AA11" i="1" s="1"/>
  <c r="O19" i="1"/>
  <c r="N19" i="1"/>
  <c r="AA19" i="1" s="1"/>
  <c r="O18" i="1"/>
  <c r="N18" i="1"/>
  <c r="AA18" i="1" s="1"/>
  <c r="O20" i="1"/>
  <c r="N20" i="1"/>
  <c r="AA20" i="1" s="1"/>
  <c r="O14" i="1"/>
  <c r="N14" i="1"/>
  <c r="AA14" i="1" s="1"/>
  <c r="O16" i="1"/>
  <c r="Q16" i="1" s="1"/>
  <c r="N16" i="1"/>
  <c r="AA16" i="1" s="1"/>
  <c r="O9" i="1"/>
  <c r="N9" i="1"/>
  <c r="AA9" i="1" s="1"/>
  <c r="O6" i="1"/>
  <c r="N6" i="1"/>
  <c r="AA6" i="1" s="1"/>
  <c r="O15" i="1"/>
  <c r="N15" i="1"/>
  <c r="AA15" i="1" s="1"/>
  <c r="O22" i="1"/>
  <c r="N22" i="1"/>
  <c r="U22" i="1" s="1"/>
  <c r="O10" i="1"/>
  <c r="N10" i="1"/>
  <c r="AA10" i="1" s="1"/>
  <c r="N7" i="1"/>
  <c r="AA7" i="1" s="1"/>
  <c r="O8" i="1"/>
  <c r="Q8" i="1" s="1"/>
  <c r="N8" i="1"/>
  <c r="AA8" i="1" s="1"/>
  <c r="O4" i="1"/>
  <c r="N4" i="1"/>
  <c r="AA4" i="1" s="1"/>
  <c r="P12" i="1"/>
  <c r="O7" i="1"/>
  <c r="T5" i="1"/>
  <c r="Q5" i="1"/>
  <c r="Q3" i="1"/>
  <c r="AE8" i="1"/>
  <c r="T20" i="1"/>
  <c r="T8" i="1"/>
  <c r="T10" i="1"/>
  <c r="AE10" i="1"/>
  <c r="T11" i="1"/>
  <c r="T21" i="1"/>
  <c r="T13" i="1"/>
  <c r="T7" i="1"/>
  <c r="T6" i="1"/>
  <c r="AE2" i="1"/>
  <c r="T3" i="1"/>
  <c r="AE3" i="1"/>
  <c r="T4" i="1"/>
  <c r="T19" i="1"/>
  <c r="T17" i="1"/>
  <c r="AE12" i="1"/>
  <c r="T16" i="1"/>
  <c r="T9" i="1"/>
  <c r="U9" i="1" s="1"/>
  <c r="T18" i="1"/>
  <c r="T14" i="1"/>
  <c r="AE14" i="1"/>
  <c r="T15" i="1"/>
  <c r="U15" i="1" l="1"/>
  <c r="U18" i="1"/>
  <c r="U11" i="1"/>
  <c r="U14" i="1"/>
  <c r="U13" i="1"/>
  <c r="AA2" i="1"/>
  <c r="U8" i="1"/>
  <c r="W2" i="1"/>
  <c r="W3" i="1"/>
  <c r="U6" i="1"/>
  <c r="U17" i="1"/>
  <c r="U19" i="1"/>
  <c r="U5" i="1"/>
  <c r="U16" i="1"/>
  <c r="U4" i="1"/>
  <c r="W4" i="1" s="1"/>
  <c r="U7" i="1"/>
  <c r="U21" i="1"/>
  <c r="U10" i="1"/>
  <c r="U20" i="1"/>
  <c r="P15" i="1"/>
  <c r="P14" i="1"/>
  <c r="P11" i="1"/>
  <c r="P13" i="1"/>
  <c r="P10" i="1"/>
  <c r="P9" i="1"/>
  <c r="P18" i="1"/>
  <c r="Q15" i="1"/>
  <c r="Q7" i="1"/>
  <c r="P7" i="1"/>
  <c r="Q9" i="1"/>
  <c r="P8" i="1"/>
  <c r="P2" i="1"/>
  <c r="P22" i="1"/>
  <c r="P6" i="1"/>
  <c r="P16" i="1"/>
  <c r="P20" i="1"/>
  <c r="P19" i="1"/>
  <c r="P17" i="1"/>
  <c r="P5" i="1"/>
  <c r="Q10" i="1"/>
  <c r="Q11" i="1"/>
  <c r="P4" i="1"/>
  <c r="Q2" i="1"/>
  <c r="P21" i="1"/>
  <c r="Q19" i="1"/>
  <c r="Q21" i="1"/>
  <c r="Q18" i="1"/>
  <c r="Q6" i="1"/>
  <c r="Q17" i="1"/>
  <c r="Q20" i="1"/>
  <c r="Q13" i="1"/>
  <c r="Q4" i="1"/>
  <c r="Q22" i="1"/>
  <c r="Q14" i="1"/>
  <c r="V6" i="1"/>
  <c r="X6" i="1" s="1"/>
  <c r="AE9" i="1"/>
  <c r="AE19" i="1"/>
  <c r="AE6" i="1"/>
  <c r="AE21" i="1"/>
  <c r="AE20" i="1"/>
  <c r="AE18" i="1"/>
  <c r="AE17" i="1"/>
  <c r="AE5" i="1"/>
  <c r="AE13" i="1"/>
  <c r="AE15" i="1"/>
  <c r="AE16" i="1"/>
  <c r="AE4" i="1"/>
  <c r="V12" i="1"/>
  <c r="X12" i="1" s="1"/>
  <c r="V3" i="1"/>
  <c r="X3" i="1" s="1"/>
  <c r="Y3" i="1" s="1"/>
  <c r="V7" i="1"/>
  <c r="X7" i="1" s="1"/>
  <c r="V13" i="1"/>
  <c r="X13" i="1" s="1"/>
  <c r="V17" i="1"/>
  <c r="X17" i="1" s="1"/>
  <c r="V21" i="1"/>
  <c r="X21" i="1" s="1"/>
  <c r="V11" i="1"/>
  <c r="X11" i="1" s="1"/>
  <c r="V4" i="1"/>
  <c r="X4" i="1" s="1"/>
  <c r="Y4" i="1" s="1"/>
  <c r="V8" i="1"/>
  <c r="X8" i="1" s="1"/>
  <c r="V14" i="1"/>
  <c r="X14" i="1" s="1"/>
  <c r="V18" i="1"/>
  <c r="X18" i="1" s="1"/>
  <c r="V10" i="1"/>
  <c r="X10" i="1" s="1"/>
  <c r="V5" i="1"/>
  <c r="X5" i="1" s="1"/>
  <c r="V9" i="1"/>
  <c r="X9" i="1" s="1"/>
  <c r="V15" i="1"/>
  <c r="X15" i="1" s="1"/>
  <c r="V19" i="1"/>
  <c r="X19" i="1" s="1"/>
  <c r="V2" i="1"/>
  <c r="X2" i="1" s="1"/>
  <c r="Y2" i="1" s="1"/>
  <c r="V16" i="1"/>
  <c r="X16" i="1" s="1"/>
  <c r="V20" i="1"/>
  <c r="X20" i="1" s="1"/>
  <c r="AE7" i="1"/>
  <c r="AE11" i="1"/>
  <c r="W12" i="1" l="1"/>
  <c r="Y12" i="1"/>
  <c r="W9" i="1"/>
  <c r="Y9" i="1" s="1"/>
  <c r="W19" i="1"/>
  <c r="Y19" i="1" s="1"/>
  <c r="W20" i="1"/>
  <c r="Y20" i="1" s="1"/>
  <c r="W18" i="1"/>
  <c r="Y18" i="1" s="1"/>
  <c r="W14" i="1"/>
  <c r="Y14" i="1" s="1"/>
  <c r="W21" i="1"/>
  <c r="Y21" i="1" s="1"/>
  <c r="W11" i="1"/>
  <c r="Y11" i="1" s="1"/>
  <c r="W13" i="1"/>
  <c r="Y13" i="1" s="1"/>
  <c r="W10" i="1"/>
  <c r="Y10" i="1" s="1"/>
  <c r="W16" i="1"/>
  <c r="Y16" i="1" s="1"/>
  <c r="W17" i="1"/>
  <c r="Y17" i="1" s="1"/>
  <c r="W6" i="1"/>
  <c r="Y6" i="1" s="1"/>
  <c r="W7" i="1"/>
  <c r="Y7" i="1" s="1"/>
  <c r="W5" i="1"/>
  <c r="Y5" i="1" s="1"/>
  <c r="W8" i="1"/>
  <c r="Y8" i="1" s="1"/>
  <c r="W15" i="1"/>
  <c r="Y15" i="1" s="1"/>
</calcChain>
</file>

<file path=xl/sharedStrings.xml><?xml version="1.0" encoding="utf-8"?>
<sst xmlns="http://schemas.openxmlformats.org/spreadsheetml/2006/main" count="56" uniqueCount="56">
  <si>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</si>
  <si>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</si>
  <si>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</si>
  <si>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</si>
  <si>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</si>
  <si>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</si>
  <si>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</si>
  <si>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</si>
  <si>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</si>
  <si>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</si>
  <si>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</si>
  <si>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CT19E 1 mL</t>
  </si>
  <si>
    <t>CT19E 2 mL</t>
  </si>
  <si>
    <t>CT19E 3 mL</t>
  </si>
  <si>
    <t>CT19E 4 mL</t>
  </si>
  <si>
    <t>CT19E 5 mL</t>
  </si>
  <si>
    <t>CT19E 6 mL</t>
  </si>
  <si>
    <t>CT19E 7 mL</t>
  </si>
  <si>
    <t>CT19E 8 mL</t>
  </si>
  <si>
    <t>CT19E 9 mL</t>
  </si>
  <si>
    <t>CT19E 10 mL</t>
  </si>
  <si>
    <t>CT19E 11 mL</t>
  </si>
  <si>
    <t>CT19E 12 mL</t>
  </si>
  <si>
    <t>CT19E 13 mL</t>
  </si>
  <si>
    <t>CT19E 14 mL</t>
  </si>
  <si>
    <t>CT19E 15 mL</t>
  </si>
  <si>
    <t>CT19E 16 mL</t>
  </si>
  <si>
    <t>CT19E 17 mL</t>
  </si>
  <si>
    <t>CT19E 18 mL</t>
  </si>
  <si>
    <t>CT19E 19 mL</t>
  </si>
  <si>
    <t>CT19E 20 mL</t>
  </si>
  <si>
    <t>1 ml/min</t>
  </si>
  <si>
    <t>Weight of eluate (g)</t>
  </si>
  <si>
    <t>Weight Corrected Sr-90 activity (DPM)</t>
  </si>
  <si>
    <t>Cumulative Activity (DPM)</t>
  </si>
  <si>
    <t>1/2 cumulative activity</t>
  </si>
  <si>
    <t>Decay constant of sr-90=</t>
  </si>
  <si>
    <t>Time from 19.07.2018</t>
  </si>
  <si>
    <t>DC factor</t>
  </si>
  <si>
    <t>DC to 05.06.2018</t>
  </si>
  <si>
    <t>Measured counts (cpm)</t>
  </si>
  <si>
    <r>
      <t xml:space="preserve">Measured counts (cpm) </t>
    </r>
    <r>
      <rPr>
        <sz val="11"/>
        <color theme="1"/>
        <rFont val="Calibri"/>
        <family val="2"/>
      </rPr>
      <t>σ</t>
    </r>
  </si>
  <si>
    <r>
      <t xml:space="preserve">Measured counts (cpm) % </t>
    </r>
    <r>
      <rPr>
        <sz val="11"/>
        <color theme="1"/>
        <rFont val="Calibri"/>
        <family val="2"/>
      </rPr>
      <t>σ</t>
    </r>
  </si>
  <si>
    <r>
      <t xml:space="preserve">Total bkgd corrected counts (cpm) </t>
    </r>
    <r>
      <rPr>
        <sz val="11"/>
        <color theme="1"/>
        <rFont val="Calibri"/>
        <family val="2"/>
      </rPr>
      <t>σ</t>
    </r>
  </si>
  <si>
    <t>Time elapsed (hrs) σ</t>
  </si>
  <si>
    <t>Ingrowth factor σ</t>
  </si>
  <si>
    <r>
      <t xml:space="preserve">CPM of Sr-90 </t>
    </r>
    <r>
      <rPr>
        <sz val="11"/>
        <color theme="1"/>
        <rFont val="Calibri"/>
        <family val="2"/>
      </rPr>
      <t>σ</t>
    </r>
  </si>
  <si>
    <t>CPM of Y-90 σ</t>
  </si>
  <si>
    <r>
      <t xml:space="preserve">Weight of eluate (g) </t>
    </r>
    <r>
      <rPr>
        <sz val="11"/>
        <color theme="1"/>
        <rFont val="Calibri"/>
        <family val="2"/>
      </rPr>
      <t>σ</t>
    </r>
  </si>
  <si>
    <r>
      <t xml:space="preserve">Weight Corrected Sr-90 activity (DPM) </t>
    </r>
    <r>
      <rPr>
        <sz val="11"/>
        <color theme="1"/>
        <rFont val="Calibri"/>
        <family val="2"/>
      </rPr>
      <t>σ</t>
    </r>
  </si>
  <si>
    <r>
      <t xml:space="preserve">Cumulative Activity (DPM) </t>
    </r>
    <r>
      <rPr>
        <sz val="11"/>
        <color theme="1"/>
        <rFont val="Calibri"/>
        <family val="2"/>
      </rPr>
      <t>σ</t>
    </r>
  </si>
  <si>
    <r>
      <t xml:space="preserve">1/2 cumulative activity </t>
    </r>
    <r>
      <rPr>
        <sz val="11"/>
        <color theme="1"/>
        <rFont val="Calibri"/>
        <family val="2"/>
      </rPr>
      <t>σ</t>
    </r>
  </si>
  <si>
    <t>Activity (bq)</t>
  </si>
  <si>
    <r>
      <t xml:space="preserve">Activity (bq) </t>
    </r>
    <r>
      <rPr>
        <sz val="11"/>
        <color theme="1"/>
        <rFont val="Calibri"/>
        <family val="2"/>
      </rPr>
      <t>σ</t>
    </r>
  </si>
  <si>
    <t>Sr-90 total activity</t>
  </si>
  <si>
    <r>
      <t xml:space="preserve">Activity (bq) </t>
    </r>
    <r>
      <rPr>
        <sz val="11"/>
        <color theme="1"/>
        <rFont val="Calibri"/>
        <family val="2"/>
      </rPr>
      <t>σ^2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</si>
</sst>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2" borderId="2" xfId="0" applyFill="1" applyBorder="1"/>
    <xf numFmtId="0" fontId="0" fillId="2" borderId="1" xfId="0" applyFill="1" applyBorder="1"/>
    <xf numFmtId="0" fontId="0" fillId="0" borderId="1" xfId="0" applyBorder="1"/>
    <xf numFmtId="22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166" fontId="0" fillId="0" borderId="1" xfId="0" applyNumberFormat="1" applyBorder="1"/>
    <xf numFmtId="166" fontId="0" fillId="2" borderId="1" xfId="0" applyNumberFormat="1" applyFill="1" applyBorder="1"/>
    <xf numFmtId="165" fontId="0" fillId="0" borderId="1" xfId="0" applyNumberFormat="1" applyBorder="1"/>
    <xf numFmtId="22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22" fontId="0" fillId="0" borderId="8" xfId="0" applyNumberFormat="1" applyBorder="1"/>
    <xf numFmtId="22" fontId="0" fillId="0" borderId="2" xfId="0" applyNumberFormat="1" applyBorder="1"/>
    <xf numFmtId="2" fontId="0" fillId="0" borderId="2" xfId="0" applyNumberFormat="1" applyBorder="1"/>
    <xf numFmtId="2" fontId="0" fillId="2" borderId="2" xfId="0" applyNumberFormat="1" applyFill="1" applyBorder="1"/>
    <xf numFmtId="0" fontId="0" fillId="0" borderId="2" xfId="0" applyBorder="1"/>
    <xf numFmtId="166" fontId="0" fillId="0" borderId="2" xfId="0" applyNumberFormat="1" applyBorder="1"/>
    <xf numFmtId="166" fontId="0" fillId="2" borderId="2" xfId="0" applyNumberFormat="1" applyFill="1" applyBorder="1"/>
    <xf numFmtId="165" fontId="0" fillId="0" borderId="2" xfId="0" applyNumberFormat="1" applyBorder="1"/>
    <xf numFmtId="0" fontId="0" fillId="0" borderId="3" xfId="0" applyBorder="1"/>
    <xf numFmtId="0" fontId="0" fillId="0" borderId="9" xfId="0" applyBorder="1"/>
    <xf numFmtId="0" fontId="0" fillId="0" borderId="10" xfId="0" applyBorder="1"/>
    <xf numFmtId="0" fontId="0" fillId="2" borderId="10" xfId="0" applyFill="1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"/>
  <sheetViews>
    <sheetView tabSelected="1" topLeftCell="E1" zoomScale="60" zoomScaleNormal="60" workbookViewId="0">
      <selection activeCell="S3" sqref="S3"/>
    </sheetView>
  </sheetViews>
  <sheetFormatPr defaultRowHeight="15" x14ac:dyDescent="0.25"/>
  <cols>
    <col min="1" max="1" width="15.42578125" bestFit="1" customWidth="1"/>
    <col min="2" max="2" width="17" bestFit="1" customWidth="1"/>
    <col min="3" max="3" width="17.5703125" bestFit="1" customWidth="1"/>
    <col min="4" max="4" width="25.5703125" bestFit="1" customWidth="1"/>
    <col min="5" max="5" width="29.7109375" style="2" bestFit="1" customWidth="1"/>
    <col min="6" max="6" width="27.5703125" style="2" bestFit="1" customWidth="1"/>
    <col min="7" max="7" width="36.85546875" bestFit="1" customWidth="1"/>
    <col min="8" max="8" width="38.42578125" style="2" bestFit="1" customWidth="1"/>
    <col min="9" max="9" width="19.85546875" bestFit="1" customWidth="1"/>
    <col min="10" max="10" width="21.85546875" style="2" bestFit="1" customWidth="1"/>
    <col min="11" max="11" width="16.5703125" bestFit="1" customWidth="1"/>
    <col min="12" max="12" width="18.28515625" style="2" bestFit="1" customWidth="1"/>
    <col min="13" max="13" width="15.42578125" bestFit="1" customWidth="1"/>
    <col min="14" max="14" width="17.28515625" style="2" bestFit="1" customWidth="1"/>
    <col min="15" max="15" width="15.140625" bestFit="1" customWidth="1"/>
    <col min="16" max="16" width="16.5703125" style="2" bestFit="1" customWidth="1"/>
    <col min="17" max="17" width="12.7109375" bestFit="1" customWidth="1"/>
    <col min="18" max="18" width="20.5703125" bestFit="1" customWidth="1"/>
    <col min="19" max="19" width="22.5703125" style="2" bestFit="1" customWidth="1"/>
    <col min="20" max="20" width="40.42578125" bestFit="1" customWidth="1"/>
    <col min="21" max="21" width="42.28515625" style="2" bestFit="1" customWidth="1"/>
    <col min="22" max="22" width="28.7109375" bestFit="1" customWidth="1"/>
    <col min="23" max="23" width="30.42578125" style="2" bestFit="1" customWidth="1"/>
    <col min="24" max="24" width="23.28515625" bestFit="1" customWidth="1"/>
    <col min="25" max="25" width="24.85546875" style="2" bestFit="1" customWidth="1"/>
    <col min="26" max="26" width="14.7109375" bestFit="1" customWidth="1"/>
    <col min="27" max="27" width="14.85546875" style="2" bestFit="1" customWidth="1"/>
    <col min="28" max="28" width="17.28515625" style="2" bestFit="1" customWidth="1"/>
    <col min="29" max="29" width="22.28515625" bestFit="1" customWidth="1"/>
    <col min="30" max="30" width="12.7109375" bestFit="1" customWidth="1"/>
    <col min="31" max="31" width="18.28515625" bestFit="1" customWidth="1"/>
    <col min="32" max="32" width="24.7109375" customWidth="1"/>
    <col min="33" max="33" width="27" customWidth="1"/>
  </cols>
  <sheetData>
    <row r="1" spans="1:33" ht="15.75" thickBot="1" x14ac:dyDescent="0.3">
      <c r="A1" s="24" t="s">
        <v>2</v>
      </c>
      <c r="B1" s="25" t="s">
        <v>4</v>
      </c>
      <c r="C1" s="26" t="s">
        <v>3</v>
      </c>
      <c r="D1" s="26" t="s">
        <v>40</v>
      </c>
      <c r="E1" s="27" t="s">
        <v>42</v>
      </c>
      <c r="F1" s="27" t="s">
        <v>41</v>
      </c>
      <c r="G1" s="26" t="s">
        <v>9</v>
      </c>
      <c r="H1" s="27" t="s">
        <v>43</v>
      </c>
      <c r="I1" s="26" t="s">
        <v>0</v>
      </c>
      <c r="J1" s="27" t="s">
        <v>44</v>
      </c>
      <c r="K1" s="26" t="s">
        <v>5</v>
      </c>
      <c r="L1" s="27" t="s">
        <v>45</v>
      </c>
      <c r="M1" s="26" t="s">
        <v>6</v>
      </c>
      <c r="N1" s="27" t="s">
        <v>46</v>
      </c>
      <c r="O1" s="26" t="s">
        <v>7</v>
      </c>
      <c r="P1" s="27" t="s">
        <v>47</v>
      </c>
      <c r="Q1" s="26" t="s">
        <v>8</v>
      </c>
      <c r="R1" s="26" t="s">
        <v>32</v>
      </c>
      <c r="S1" s="27" t="s">
        <v>48</v>
      </c>
      <c r="T1" s="26" t="s">
        <v>33</v>
      </c>
      <c r="U1" s="27" t="s">
        <v>49</v>
      </c>
      <c r="V1" s="26" t="s">
        <v>34</v>
      </c>
      <c r="W1" s="27" t="s">
        <v>50</v>
      </c>
      <c r="X1" s="26" t="s">
        <v>35</v>
      </c>
      <c r="Y1" s="27" t="s">
        <v>51</v>
      </c>
      <c r="Z1" s="26" t="s">
        <v>52</v>
      </c>
      <c r="AA1" s="27" t="s">
        <v>53</v>
      </c>
      <c r="AB1" s="27" t="s">
        <v>55</v>
      </c>
      <c r="AC1" s="26" t="s">
        <v>37</v>
      </c>
      <c r="AD1" s="26" t="s">
        <v>38</v>
      </c>
      <c r="AE1" s="28" t="s">
        <v>39</v>
      </c>
    </row>
    <row r="2" spans="1:33" x14ac:dyDescent="0.25">
      <c r="A2" s="15" t="s">
        <v>11</v>
      </c>
      <c r="B2" s="16">
        <v>43312.628472222219</v>
      </c>
      <c r="C2" s="17">
        <v>43313.361805555556</v>
      </c>
      <c r="D2" s="18">
        <v>8.4600000000000009</v>
      </c>
      <c r="E2" s="19">
        <v>6.35</v>
      </c>
      <c r="F2" s="3">
        <f>D2*(E2/100)</f>
        <v>0.53721000000000008</v>
      </c>
      <c r="G2" s="20">
        <f t="shared" ref="G2:G22" si="0">D2-$D$22</f>
        <v>0.58000000000000096</v>
      </c>
      <c r="H2" s="3">
        <f>SQRT((F2^2)+(F$22^2))</f>
        <v>0.74661970380910792</v>
      </c>
      <c r="I2" s="21">
        <f>(C2-B2)*24</f>
        <v>17.600000000093132</v>
      </c>
      <c r="J2" s="22">
        <v>1.6666666666666701E-2</v>
      </c>
      <c r="K2" s="20">
        <f>1-EXP(-$AG$3*I2)</f>
        <v>0.18019366193251818</v>
      </c>
      <c r="L2" s="3">
        <f>K2*SQRT(((J2/I2)^2))</f>
        <v>1.7063793743519418E-4</v>
      </c>
      <c r="M2" s="20">
        <f>G2/((1+K2))</f>
        <v>0.49144476767505685</v>
      </c>
      <c r="N2" s="3">
        <f>M2*SQRT(((H2/G2)^2)+((L2/K2)^2))</f>
        <v>0.63262490717713293</v>
      </c>
      <c r="O2" s="20">
        <f>M2*K2</f>
        <v>8.8555232324944125E-2</v>
      </c>
      <c r="P2" s="3">
        <f>O2*SQRT(((N2/M2)^2)+((L2/K2)^2))</f>
        <v>0.1139950294989663</v>
      </c>
      <c r="Q2" s="20">
        <f>M2+O2</f>
        <v>0.58000000000000096</v>
      </c>
      <c r="R2" s="20">
        <v>0.96010000000000062</v>
      </c>
      <c r="S2" s="3">
        <v>1.4142135623730951E-4</v>
      </c>
      <c r="T2" s="20">
        <f>M2/R2</f>
        <v>0.51186831337887362</v>
      </c>
      <c r="U2" s="3">
        <f>T2*SQRT(((S2/R2)^2)+((N2/M2)^2))</f>
        <v>0.65891564557728588</v>
      </c>
      <c r="V2" s="20">
        <f>SUM($T$2:T2)</f>
        <v>0.51186831337887362</v>
      </c>
      <c r="W2" s="3">
        <f>SQRT((U2^2))</f>
        <v>0.65891564557728588</v>
      </c>
      <c r="X2" s="20">
        <f>V2/2</f>
        <v>0.25593415668943681</v>
      </c>
      <c r="Y2" s="3">
        <f>X2*SQRT(((W2/V2)^2))</f>
        <v>0.32945782278864294</v>
      </c>
      <c r="Z2" s="20">
        <f t="shared" ref="Z2:Z3" si="1">M2/60</f>
        <v>8.1907461279176145E-3</v>
      </c>
      <c r="AA2" s="3">
        <f>Z2*SQRT(((N2/M2)^2))</f>
        <v>1.0543748452952216E-2</v>
      </c>
      <c r="AB2" s="3">
        <f>AA2^2</f>
        <v>1.1117063143913224E-4</v>
      </c>
      <c r="AC2" s="20">
        <f>(C2-$AG$6)*24</f>
        <v>20.683333333348855</v>
      </c>
      <c r="AD2" s="23">
        <f>EXP(-$AG$9*AC2)</f>
        <v>0.99994317531216514</v>
      </c>
      <c r="AE2" s="20">
        <f>Z2/AD2</f>
        <v>8.1912115909592593E-3</v>
      </c>
      <c r="AG2" t="s">
        <v>1</v>
      </c>
    </row>
    <row r="3" spans="1:33" x14ac:dyDescent="0.25">
      <c r="A3" s="13" t="s">
        <v>12</v>
      </c>
      <c r="B3" s="12">
        <v>43312.628472222219</v>
      </c>
      <c r="C3" s="6">
        <v>43313.384722222225</v>
      </c>
      <c r="D3" s="7">
        <v>7.88</v>
      </c>
      <c r="E3" s="8">
        <v>6.58</v>
      </c>
      <c r="F3" s="4">
        <f t="shared" ref="F3:F22" si="2">D3*(E3/100)</f>
        <v>0.51850399999999996</v>
      </c>
      <c r="G3" s="7">
        <f>D3-$D$22</f>
        <v>0</v>
      </c>
      <c r="H3" s="4">
        <f t="shared" ref="H3:H22" si="3">SQRT((F3^2)+(F$22^2))</f>
        <v>0.73327538894469924</v>
      </c>
      <c r="I3" s="9">
        <f t="shared" ref="I3:I22" si="4">(C3-B3)*24</f>
        <v>18.150000000139698</v>
      </c>
      <c r="J3" s="10">
        <v>1.6666666666666701E-2</v>
      </c>
      <c r="K3" s="5">
        <f>1-EXP(-$AG$3*I3)</f>
        <v>0.18526804778146133</v>
      </c>
      <c r="L3" s="4">
        <f t="shared" ref="L3:L22" si="5">K3*SQRT(((J3/I3)^2))</f>
        <v>1.7012676563823298E-4</v>
      </c>
      <c r="M3" s="5">
        <f>G3/((1+K3))</f>
        <v>0</v>
      </c>
      <c r="N3" s="4">
        <v>0</v>
      </c>
      <c r="O3" s="5">
        <f>M3*K3</f>
        <v>0</v>
      </c>
      <c r="P3" s="4">
        <v>0</v>
      </c>
      <c r="Q3" s="5">
        <f t="shared" ref="Q3:Q22" si="6">M3+O3</f>
        <v>0</v>
      </c>
      <c r="R3" s="5">
        <v>0.98840000000000039</v>
      </c>
      <c r="S3" s="4">
        <v>1.4142135623730951E-4</v>
      </c>
      <c r="T3" s="5">
        <f>M3/R3</f>
        <v>0</v>
      </c>
      <c r="U3" s="4">
        <v>0</v>
      </c>
      <c r="V3" s="5">
        <f>SUM($T$2:T3)</f>
        <v>0.51186831337887362</v>
      </c>
      <c r="W3" s="4">
        <f>SQRT((U3^2)+(U2^2))</f>
        <v>0.65891564557728588</v>
      </c>
      <c r="X3" s="5">
        <f>V3/2</f>
        <v>0.25593415668943681</v>
      </c>
      <c r="Y3" s="4">
        <f t="shared" ref="Y3:Y21" si="7">X3*SQRT(((W3/V3)^2))</f>
        <v>0.32945782278864294</v>
      </c>
      <c r="Z3" s="5">
        <f t="shared" si="1"/>
        <v>0</v>
      </c>
      <c r="AA3" s="4">
        <v>0</v>
      </c>
      <c r="AB3" s="3">
        <f t="shared" ref="AB3:AB21" si="8">AA3^2</f>
        <v>0</v>
      </c>
      <c r="AC3" s="5">
        <f>(C3-$AG$6)*24</f>
        <v>21.233333333395422</v>
      </c>
      <c r="AD3" s="11">
        <f>EXP(-$AG$9*AC3)</f>
        <v>0.99994166430491149</v>
      </c>
      <c r="AE3" s="5">
        <f>Z3/AD3</f>
        <v>0</v>
      </c>
      <c r="AG3">
        <f>LN(2)/61.4</f>
        <v>1.1289042028663604E-2</v>
      </c>
    </row>
    <row r="4" spans="1:33" x14ac:dyDescent="0.25">
      <c r="A4" s="13" t="s">
        <v>13</v>
      </c>
      <c r="B4" s="12">
        <v>43312.628472164353</v>
      </c>
      <c r="C4" s="6">
        <v>43313.407638888886</v>
      </c>
      <c r="D4" s="7">
        <v>7.98</v>
      </c>
      <c r="E4" s="8">
        <v>6.54</v>
      </c>
      <c r="F4" s="4">
        <f t="shared" si="2"/>
        <v>0.52189200000000002</v>
      </c>
      <c r="G4" s="5">
        <f t="shared" si="0"/>
        <v>0.10000000000000053</v>
      </c>
      <c r="H4" s="4">
        <f t="shared" si="3"/>
        <v>0.73567496741427862</v>
      </c>
      <c r="I4" s="9">
        <f t="shared" si="4"/>
        <v>18.700001388788223</v>
      </c>
      <c r="J4" s="10">
        <v>1.6666666666666701E-2</v>
      </c>
      <c r="K4" s="5">
        <f>1-EXP(-$AG$3*I4)</f>
        <v>0.19031103720784071</v>
      </c>
      <c r="L4" s="4">
        <f t="shared" si="5"/>
        <v>1.6961766762393934E-4</v>
      </c>
      <c r="M4" s="5">
        <f>G4/((1+K4))</f>
        <v>8.4011654831475352E-2</v>
      </c>
      <c r="N4" s="4">
        <f t="shared" ref="N4:N22" si="9">M4*SQRT(((H4/G4)^2)+((L4/K4)^2))</f>
        <v>0.61805271884128099</v>
      </c>
      <c r="O4" s="5">
        <f>M4*K4</f>
        <v>1.5988345168525177E-2</v>
      </c>
      <c r="P4" s="4">
        <f t="shared" ref="P4:P22" si="10">O4*SQRT(((N4/M4)^2)+((L4/K4)^2))</f>
        <v>0.11762225483499093</v>
      </c>
      <c r="Q4" s="5">
        <f t="shared" si="6"/>
        <v>0.10000000000000053</v>
      </c>
      <c r="R4" s="5">
        <v>0.96379999999999999</v>
      </c>
      <c r="S4" s="4">
        <v>1.4142135623730951E-4</v>
      </c>
      <c r="T4" s="5">
        <f>M4/R4</f>
        <v>8.7167103996135462E-2</v>
      </c>
      <c r="U4" s="4">
        <f t="shared" ref="U4:U22" si="11">T4*SQRT(((S4/R4)^2)+((N4/M4)^2))</f>
        <v>0.64126656875307864</v>
      </c>
      <c r="V4" s="5">
        <f>SUM($T$2:T4)</f>
        <v>0.59903541737500909</v>
      </c>
      <c r="W4" s="4">
        <f>SQRT((U4^2)+(U3^2)+(U2^2))</f>
        <v>0.91945235884567633</v>
      </c>
      <c r="X4" s="5">
        <f>V4/2</f>
        <v>0.29951770868750455</v>
      </c>
      <c r="Y4" s="4">
        <f t="shared" si="7"/>
        <v>0.45972617942283817</v>
      </c>
      <c r="Z4" s="5">
        <f>M4/60</f>
        <v>1.400194247191256E-3</v>
      </c>
      <c r="AA4" s="4">
        <f t="shared" ref="AA4:AA21" si="12">Z4*SQRT(((N4/M4)^2))</f>
        <v>1.0300878647354685E-2</v>
      </c>
      <c r="AB4" s="3">
        <f t="shared" si="8"/>
        <v>1.0610810090752769E-4</v>
      </c>
      <c r="AC4" s="5">
        <f>(C4-$AG$6)*24</f>
        <v>21.783333333267365</v>
      </c>
      <c r="AD4" s="11">
        <f>EXP(-$AG$9*AC4)</f>
        <v>0.99994015329994168</v>
      </c>
      <c r="AE4" s="5">
        <f>Z4/AD4</f>
        <v>1.4002780492116654E-3</v>
      </c>
    </row>
    <row r="5" spans="1:33" x14ac:dyDescent="0.25">
      <c r="A5" s="13" t="s">
        <v>14</v>
      </c>
      <c r="B5" s="12">
        <v>43312.628472164353</v>
      </c>
      <c r="C5" s="6">
        <v>43313.430555555555</v>
      </c>
      <c r="D5" s="7">
        <v>8.56</v>
      </c>
      <c r="E5" s="8">
        <v>6.31</v>
      </c>
      <c r="F5" s="4">
        <f t="shared" si="2"/>
        <v>0.54013599999999995</v>
      </c>
      <c r="G5" s="5">
        <f t="shared" si="0"/>
        <v>0.6800000000000006</v>
      </c>
      <c r="H5" s="4">
        <f t="shared" si="3"/>
        <v>0.74872778532120732</v>
      </c>
      <c r="I5" s="9">
        <f t="shared" si="4"/>
        <v>19.250001388834789</v>
      </c>
      <c r="J5" s="10">
        <v>1.6666666666666701E-2</v>
      </c>
      <c r="K5" s="5">
        <f>1-EXP(-$AG$3*I5)</f>
        <v>0.19532279916191786</v>
      </c>
      <c r="L5" s="4">
        <f t="shared" si="5"/>
        <v>1.691106364241681E-4</v>
      </c>
      <c r="M5" s="5">
        <f>G5/((1+K5))</f>
        <v>0.56888398721815736</v>
      </c>
      <c r="N5" s="4">
        <f t="shared" si="9"/>
        <v>0.62638144049362099</v>
      </c>
      <c r="O5" s="5">
        <f>M5*K5</f>
        <v>0.1111160127818432</v>
      </c>
      <c r="P5" s="4">
        <f t="shared" si="10"/>
        <v>0.12234661412428213</v>
      </c>
      <c r="Q5" s="5">
        <f t="shared" si="6"/>
        <v>0.6800000000000006</v>
      </c>
      <c r="R5" s="5">
        <v>0.82369999999999965</v>
      </c>
      <c r="S5" s="4">
        <v>1.4142135623730951E-4</v>
      </c>
      <c r="T5" s="5">
        <f>M5/R5</f>
        <v>0.69064463666159714</v>
      </c>
      <c r="U5" s="4">
        <f t="shared" si="11"/>
        <v>0.76044852265221563</v>
      </c>
      <c r="V5" s="5">
        <f>SUM($T$2:T5)</f>
        <v>1.2896800540366062</v>
      </c>
      <c r="W5" s="4">
        <f>SQRT((U5^2)+(U4^2)+(U3^2)+(U2^2))</f>
        <v>1.1931783587506168</v>
      </c>
      <c r="X5" s="5">
        <f>V5/2</f>
        <v>0.64484002701830312</v>
      </c>
      <c r="Y5" s="4">
        <f t="shared" si="7"/>
        <v>0.59658917937530842</v>
      </c>
      <c r="Z5" s="5">
        <f>M5/60</f>
        <v>9.4813997869692898E-3</v>
      </c>
      <c r="AA5" s="4">
        <f t="shared" si="12"/>
        <v>1.0439690674893684E-2</v>
      </c>
      <c r="AB5" s="3">
        <f t="shared" si="8"/>
        <v>1.0898714138746214E-4</v>
      </c>
      <c r="AC5" s="5">
        <f>(C5-$AG$6)*24</f>
        <v>22.333333333313931</v>
      </c>
      <c r="AD5" s="11">
        <f>EXP(-$AG$9*AC5)</f>
        <v>0.99993864229725471</v>
      </c>
      <c r="AE5" s="5">
        <f>Z5/AD5</f>
        <v>9.4819815795764862E-3</v>
      </c>
    </row>
    <row r="6" spans="1:33" x14ac:dyDescent="0.25">
      <c r="A6" s="13" t="s">
        <v>15</v>
      </c>
      <c r="B6" s="12">
        <v>43312.628472164353</v>
      </c>
      <c r="C6" s="6">
        <v>43313.453472222223</v>
      </c>
      <c r="D6" s="7">
        <v>22.82</v>
      </c>
      <c r="E6" s="8">
        <v>3.87</v>
      </c>
      <c r="F6" s="4">
        <f t="shared" si="2"/>
        <v>0.88313399999999997</v>
      </c>
      <c r="G6" s="5">
        <f t="shared" si="0"/>
        <v>14.940000000000001</v>
      </c>
      <c r="H6" s="4">
        <f t="shared" si="3"/>
        <v>1.0240957279336731</v>
      </c>
      <c r="I6" s="9">
        <f t="shared" si="4"/>
        <v>19.800001388881356</v>
      </c>
      <c r="J6" s="10">
        <v>1.6666666666666701E-2</v>
      </c>
      <c r="K6" s="5">
        <f>1-EXP(-$AG$3*I6)</f>
        <v>0.20030353962621494</v>
      </c>
      <c r="L6" s="4">
        <f t="shared" si="5"/>
        <v>1.6860566125910759E-4</v>
      </c>
      <c r="M6" s="5">
        <f>G6/((1+K6))</f>
        <v>12.446851572771708</v>
      </c>
      <c r="N6" s="4">
        <f t="shared" si="9"/>
        <v>0.85326161717022253</v>
      </c>
      <c r="O6" s="5">
        <f>M6*K6</f>
        <v>2.4931484272282938</v>
      </c>
      <c r="P6" s="4">
        <f t="shared" si="10"/>
        <v>0.1709242060102846</v>
      </c>
      <c r="Q6" s="5">
        <f t="shared" si="6"/>
        <v>14.940000000000001</v>
      </c>
      <c r="R6" s="5">
        <v>0.8136000000000001</v>
      </c>
      <c r="S6" s="4">
        <v>1.4142135623730951E-4</v>
      </c>
      <c r="T6" s="5">
        <f>M6/R6</f>
        <v>15.298490133691871</v>
      </c>
      <c r="U6" s="4">
        <f t="shared" si="11"/>
        <v>1.0487516717024603</v>
      </c>
      <c r="V6" s="5">
        <f>SUM($T$2:T6)</f>
        <v>16.588170187728476</v>
      </c>
      <c r="W6" s="4">
        <f>SQRT((U6^2)+(U5^2)+(U4^2)+(U3^2)+(U2^2))</f>
        <v>1.5885700062287218</v>
      </c>
      <c r="X6" s="5">
        <f>V6/2</f>
        <v>8.2940850938642381</v>
      </c>
      <c r="Y6" s="4">
        <f t="shared" si="7"/>
        <v>0.7942850031143609</v>
      </c>
      <c r="Z6" s="5">
        <f>M6/60</f>
        <v>0.2074475262128618</v>
      </c>
      <c r="AA6" s="4">
        <f t="shared" si="12"/>
        <v>1.4221026952837041E-2</v>
      </c>
      <c r="AB6" s="3">
        <f t="shared" si="8"/>
        <v>2.0223760759331759E-4</v>
      </c>
      <c r="AC6" s="5">
        <f>(C6-$AG$6)*24</f>
        <v>22.883333333360497</v>
      </c>
      <c r="AD6" s="11">
        <f>EXP(-$AG$9*AC6)</f>
        <v>0.99993713129685091</v>
      </c>
      <c r="AE6" s="5">
        <f>Z6/AD6</f>
        <v>0.20746056898978876</v>
      </c>
      <c r="AG6" s="1">
        <v>43312.5</v>
      </c>
    </row>
    <row r="7" spans="1:33" x14ac:dyDescent="0.25">
      <c r="A7" s="13" t="s">
        <v>16</v>
      </c>
      <c r="B7" s="12">
        <v>43312.628472164353</v>
      </c>
      <c r="C7" s="6">
        <v>43313.476388888892</v>
      </c>
      <c r="D7" s="7">
        <v>93.86</v>
      </c>
      <c r="E7" s="8">
        <v>1.91</v>
      </c>
      <c r="F7" s="4">
        <f t="shared" si="2"/>
        <v>1.7927259999999998</v>
      </c>
      <c r="G7" s="5">
        <f t="shared" si="0"/>
        <v>85.98</v>
      </c>
      <c r="H7" s="4">
        <f t="shared" si="3"/>
        <v>1.866202804920194</v>
      </c>
      <c r="I7" s="9">
        <f t="shared" si="4"/>
        <v>20.350001388927922</v>
      </c>
      <c r="J7" s="10">
        <v>1.6666666666666701E-2</v>
      </c>
      <c r="K7" s="5">
        <f>1-EXP(-$AG$3*I7)</f>
        <v>0.20525345061560352</v>
      </c>
      <c r="L7" s="4">
        <f t="shared" si="5"/>
        <v>1.6810273268357836E-4</v>
      </c>
      <c r="M7" s="5">
        <f>G7/((1+K7))</f>
        <v>71.337692463012061</v>
      </c>
      <c r="N7" s="4">
        <f t="shared" si="9"/>
        <v>1.5494922428905877</v>
      </c>
      <c r="O7" s="5">
        <f>M7*K7</f>
        <v>14.642307536987957</v>
      </c>
      <c r="P7" s="4">
        <f t="shared" si="10"/>
        <v>0.31826463739727573</v>
      </c>
      <c r="Q7" s="5">
        <f>M7+O7</f>
        <v>85.980000000000018</v>
      </c>
      <c r="R7" s="5">
        <v>0.77939999999999987</v>
      </c>
      <c r="S7" s="4">
        <v>1.4142135623730951E-4</v>
      </c>
      <c r="T7" s="5">
        <f>M7/R7</f>
        <v>91.528986993856904</v>
      </c>
      <c r="U7" s="4">
        <f t="shared" si="11"/>
        <v>1.9881271598712171</v>
      </c>
      <c r="V7" s="5">
        <f>SUM($T$2:T7)</f>
        <v>108.11715718158538</v>
      </c>
      <c r="W7" s="4">
        <f>SQRT((U7^2)+(U6^2)+(U5^2)+(U4^2)+(U3^2)+(U2^2))</f>
        <v>2.5448387509834709</v>
      </c>
      <c r="X7" s="5">
        <f>V7/2</f>
        <v>54.058578590792692</v>
      </c>
      <c r="Y7" s="4">
        <f t="shared" si="7"/>
        <v>1.2724193754917354</v>
      </c>
      <c r="Z7" s="5">
        <f>M7/60</f>
        <v>1.188961541050201</v>
      </c>
      <c r="AA7" s="4">
        <f t="shared" si="12"/>
        <v>2.5824870714843129E-2</v>
      </c>
      <c r="AB7" s="3">
        <f t="shared" si="8"/>
        <v>6.6692394743836229E-4</v>
      </c>
      <c r="AC7" s="5">
        <f>(C7-$AG$6)*24</f>
        <v>23.433333333407063</v>
      </c>
      <c r="AD7" s="11">
        <f>EXP(-$AG$9*AC7)</f>
        <v>0.9999356202987304</v>
      </c>
      <c r="AE7" s="5">
        <f>Z7/AD7</f>
        <v>1.1890380909672957</v>
      </c>
    </row>
    <row r="8" spans="1:33" x14ac:dyDescent="0.25">
      <c r="A8" s="13" t="s">
        <v>17</v>
      </c>
      <c r="B8" s="12">
        <v>43312.628472164353</v>
      </c>
      <c r="C8" s="6">
        <v>43313.499305555553</v>
      </c>
      <c r="D8" s="7">
        <v>395.23</v>
      </c>
      <c r="E8" s="8">
        <v>0.93</v>
      </c>
      <c r="F8" s="4">
        <f t="shared" si="2"/>
        <v>3.6756390000000008</v>
      </c>
      <c r="G8" s="5">
        <f t="shared" si="0"/>
        <v>387.35</v>
      </c>
      <c r="H8" s="4">
        <f t="shared" si="3"/>
        <v>3.7120302337584761</v>
      </c>
      <c r="I8" s="9">
        <f t="shared" si="4"/>
        <v>20.900001388799865</v>
      </c>
      <c r="J8" s="10">
        <v>1.6666666666666701E-2</v>
      </c>
      <c r="K8" s="5">
        <f>1-EXP(-$AG$3*I8)</f>
        <v>0.21017272295487655</v>
      </c>
      <c r="L8" s="4">
        <f t="shared" si="5"/>
        <v>1.6760184129900488E-4</v>
      </c>
      <c r="M8" s="5">
        <f>G8/((1+K8))</f>
        <v>320.07827697042143</v>
      </c>
      <c r="N8" s="4">
        <f t="shared" si="9"/>
        <v>3.0779573730558325</v>
      </c>
      <c r="O8" s="5">
        <f>M8*K8</f>
        <v>67.271723029578624</v>
      </c>
      <c r="P8" s="4">
        <f t="shared" si="10"/>
        <v>0.64912321043915588</v>
      </c>
      <c r="Q8" s="5">
        <f t="shared" si="6"/>
        <v>387.35</v>
      </c>
      <c r="R8" s="5">
        <v>0.77479999999999993</v>
      </c>
      <c r="S8" s="4">
        <v>1.4142135623730951E-4</v>
      </c>
      <c r="T8" s="5">
        <f>M8/R8</f>
        <v>413.11083759734311</v>
      </c>
      <c r="U8" s="4">
        <f t="shared" si="11"/>
        <v>3.9732986365235963</v>
      </c>
      <c r="V8" s="5">
        <f>SUM($T$2:T8)</f>
        <v>521.22799477892852</v>
      </c>
      <c r="W8" s="4">
        <f>SQRT((U8^2)+(U7^2)+(U6^2)+(U5^2)+(U4^2)+(U3^2)+(U2^2))</f>
        <v>4.7184008226842478</v>
      </c>
      <c r="X8" s="5">
        <f>V8/2</f>
        <v>260.61399738946426</v>
      </c>
      <c r="Y8" s="4">
        <f t="shared" si="7"/>
        <v>2.3592004113421239</v>
      </c>
      <c r="Z8" s="5">
        <f>M8/60</f>
        <v>5.334637949507024</v>
      </c>
      <c r="AA8" s="4">
        <f t="shared" si="12"/>
        <v>5.1299289550930542E-2</v>
      </c>
      <c r="AB8" s="3">
        <f t="shared" si="8"/>
        <v>2.6316171084302116E-3</v>
      </c>
      <c r="AC8" s="5">
        <f>(C8-$AG$6)*24</f>
        <v>23.983333333279006</v>
      </c>
      <c r="AD8" s="11">
        <f>EXP(-$AG$9*AC8)</f>
        <v>0.99993410930289361</v>
      </c>
      <c r="AE8" s="5">
        <f>Z8/AD8</f>
        <v>5.3349894756826322</v>
      </c>
      <c r="AG8" t="s">
        <v>36</v>
      </c>
    </row>
    <row r="9" spans="1:33" x14ac:dyDescent="0.25">
      <c r="A9" s="13" t="s">
        <v>18</v>
      </c>
      <c r="B9" s="12">
        <v>43312.628472164353</v>
      </c>
      <c r="C9" s="6">
        <v>43313.522222222222</v>
      </c>
      <c r="D9" s="7">
        <v>481.3</v>
      </c>
      <c r="E9" s="8">
        <v>0.84</v>
      </c>
      <c r="F9" s="4">
        <f t="shared" si="2"/>
        <v>4.0429199999999996</v>
      </c>
      <c r="G9" s="5">
        <f t="shared" si="0"/>
        <v>473.42</v>
      </c>
      <c r="H9" s="4">
        <f t="shared" si="3"/>
        <v>4.0760334302377839</v>
      </c>
      <c r="I9" s="9">
        <f t="shared" si="4"/>
        <v>21.450001388846431</v>
      </c>
      <c r="J9" s="10">
        <v>1.6666666666666701E-2</v>
      </c>
      <c r="K9" s="5">
        <f>1-EXP(-$AG$3*I9)</f>
        <v>0.21506154629234275</v>
      </c>
      <c r="L9" s="4">
        <f t="shared" si="5"/>
        <v>1.6710297775254139E-4</v>
      </c>
      <c r="M9" s="5">
        <f>G9/((1+K9))</f>
        <v>389.62635386215698</v>
      </c>
      <c r="N9" s="4">
        <f t="shared" si="9"/>
        <v>3.3682230034872624</v>
      </c>
      <c r="O9" s="5">
        <f>M9*K9</f>
        <v>83.793646137842984</v>
      </c>
      <c r="P9" s="4">
        <f t="shared" si="10"/>
        <v>0.72729534217151315</v>
      </c>
      <c r="Q9" s="5">
        <f t="shared" si="6"/>
        <v>473.41999999999996</v>
      </c>
      <c r="R9" s="5">
        <v>0.77789999999999981</v>
      </c>
      <c r="S9" s="4">
        <v>1.4142135623730951E-4</v>
      </c>
      <c r="T9" s="5">
        <f>M9/R9</f>
        <v>500.86946119315729</v>
      </c>
      <c r="U9" s="4">
        <f t="shared" si="11"/>
        <v>4.3308493841165454</v>
      </c>
      <c r="V9" s="5">
        <f>SUM($T$2:T9)</f>
        <v>1022.0974559720858</v>
      </c>
      <c r="W9" s="4">
        <f>SQRT((U9^2)+(U8^2)+(U7^2)+(U6^2)+(U5^2)+(U4^2)+(U3^2)+(U2^2))</f>
        <v>6.404651646374691</v>
      </c>
      <c r="X9" s="5">
        <f>V9/2</f>
        <v>511.04872798604288</v>
      </c>
      <c r="Y9" s="4">
        <f t="shared" si="7"/>
        <v>3.2023258231873455</v>
      </c>
      <c r="Z9" s="5">
        <f>M9/60</f>
        <v>6.4937725643692827</v>
      </c>
      <c r="AA9" s="4">
        <f t="shared" si="12"/>
        <v>5.6137050058121037E-2</v>
      </c>
      <c r="AB9" s="3">
        <f t="shared" si="8"/>
        <v>3.151368389227987E-3</v>
      </c>
      <c r="AC9" s="5">
        <f>(C9-$AG$6)*24</f>
        <v>24.533333333325572</v>
      </c>
      <c r="AD9" s="11">
        <f>EXP(-$AG$9*AC9)</f>
        <v>0.99993259830933967</v>
      </c>
      <c r="AE9" s="5">
        <f>Z9/AD9</f>
        <v>6.494210285122004</v>
      </c>
      <c r="AG9">
        <f>LN(2)/252288</f>
        <v>2.7474441137110973E-6</v>
      </c>
    </row>
    <row r="10" spans="1:33" x14ac:dyDescent="0.25">
      <c r="A10" s="13" t="s">
        <v>19</v>
      </c>
      <c r="B10" s="12">
        <v>43312.628472164353</v>
      </c>
      <c r="C10" s="6">
        <v>43313.543749999997</v>
      </c>
      <c r="D10" s="7">
        <v>276.31</v>
      </c>
      <c r="E10" s="8">
        <v>1.1100000000000001</v>
      </c>
      <c r="F10" s="4">
        <f t="shared" si="2"/>
        <v>3.0670410000000001</v>
      </c>
      <c r="G10" s="5">
        <f t="shared" si="0"/>
        <v>268.43</v>
      </c>
      <c r="H10" s="4">
        <f t="shared" si="3"/>
        <v>3.1105605433260743</v>
      </c>
      <c r="I10" s="9">
        <f t="shared" si="4"/>
        <v>21.966668055451009</v>
      </c>
      <c r="J10" s="10">
        <v>1.6666666666666701E-2</v>
      </c>
      <c r="K10" s="5">
        <f>1-EXP(-$AG$3*I10)</f>
        <v>0.21962650870335054</v>
      </c>
      <c r="L10" s="4">
        <f t="shared" si="5"/>
        <v>1.6663618726710724E-4</v>
      </c>
      <c r="M10" s="5">
        <f>G10/((1+K10))</f>
        <v>220.09196920898526</v>
      </c>
      <c r="N10" s="4">
        <f t="shared" si="9"/>
        <v>2.5558815617189765</v>
      </c>
      <c r="O10" s="5">
        <f>M10*K10</f>
        <v>48.338030791014759</v>
      </c>
      <c r="P10" s="4">
        <f t="shared" si="10"/>
        <v>0.56253616402525419</v>
      </c>
      <c r="Q10" s="5">
        <f t="shared" si="6"/>
        <v>268.43</v>
      </c>
      <c r="R10" s="5">
        <v>0.77090000000000014</v>
      </c>
      <c r="S10" s="4">
        <v>1.4142135623730951E-4</v>
      </c>
      <c r="T10" s="5">
        <f>M10/R10</f>
        <v>285.50002491760955</v>
      </c>
      <c r="U10" s="4">
        <f t="shared" si="11"/>
        <v>3.3158651632508582</v>
      </c>
      <c r="V10" s="5">
        <f>SUM($T$2:T10)</f>
        <v>1307.5974808896954</v>
      </c>
      <c r="W10" s="4">
        <f>SQRT((U10^2)+(U9^2)+(U8^2)+(U7^2)+(U6^2)+(U5^2)+(U4^2)+(U3^2)+(U2^2))</f>
        <v>7.2121095729523326</v>
      </c>
      <c r="X10" s="5">
        <f>V10/2</f>
        <v>653.79874044484768</v>
      </c>
      <c r="Y10" s="4">
        <f t="shared" si="7"/>
        <v>3.6060547864761663</v>
      </c>
      <c r="Z10" s="5">
        <f>M10/60</f>
        <v>3.6681994868164209</v>
      </c>
      <c r="AA10" s="4">
        <f t="shared" si="12"/>
        <v>4.2598026028649608E-2</v>
      </c>
      <c r="AB10" s="3">
        <f t="shared" si="8"/>
        <v>1.8145918215375094E-3</v>
      </c>
      <c r="AC10" s="5">
        <f>(C10-$AG$6)*24</f>
        <v>25.049999999930151</v>
      </c>
      <c r="AD10" s="11">
        <f>EXP(-$AG$9*AC10)</f>
        <v>0.9999311788932328</v>
      </c>
      <c r="AE10" s="5">
        <f>Z10/AD10</f>
        <v>3.6684519537399995</v>
      </c>
    </row>
    <row r="11" spans="1:33" x14ac:dyDescent="0.25">
      <c r="A11" s="13" t="s">
        <v>20</v>
      </c>
      <c r="B11" s="12">
        <v>43312.628472164353</v>
      </c>
      <c r="C11" s="6">
        <v>43313.566666666666</v>
      </c>
      <c r="D11" s="7">
        <v>108.12</v>
      </c>
      <c r="E11" s="8">
        <v>1.78</v>
      </c>
      <c r="F11" s="4">
        <f t="shared" si="2"/>
        <v>1.924536</v>
      </c>
      <c r="G11" s="5">
        <f t="shared" si="0"/>
        <v>100.24000000000001</v>
      </c>
      <c r="H11" s="4">
        <f t="shared" si="3"/>
        <v>1.9931596055790415</v>
      </c>
      <c r="I11" s="9">
        <f t="shared" si="4"/>
        <v>22.516668055497576</v>
      </c>
      <c r="J11" s="10">
        <v>1.6666666666666701E-2</v>
      </c>
      <c r="K11" s="5">
        <f>1-EXP(-$AG$3*I11)</f>
        <v>0.22445681559078046</v>
      </c>
      <c r="L11" s="4">
        <f t="shared" si="5"/>
        <v>1.6614123001203288E-4</v>
      </c>
      <c r="M11" s="5">
        <f>G11/((1+K11))</f>
        <v>81.864871609731566</v>
      </c>
      <c r="N11" s="4">
        <f t="shared" si="9"/>
        <v>1.6289183251907788</v>
      </c>
      <c r="O11" s="5">
        <f>M11*K11</f>
        <v>18.375128390268436</v>
      </c>
      <c r="P11" s="4">
        <f t="shared" si="10"/>
        <v>0.36587471367248031</v>
      </c>
      <c r="Q11" s="5">
        <f t="shared" si="6"/>
        <v>100.24000000000001</v>
      </c>
      <c r="R11" s="5">
        <v>0.79459999999999997</v>
      </c>
      <c r="S11" s="4">
        <v>1.4142135623730951E-4</v>
      </c>
      <c r="T11" s="5">
        <f>M11/R11</f>
        <v>103.02651851212129</v>
      </c>
      <c r="U11" s="4">
        <f t="shared" si="11"/>
        <v>2.0500673125317705</v>
      </c>
      <c r="V11" s="5">
        <f>SUM($T$2:T11)</f>
        <v>1410.6239994018167</v>
      </c>
      <c r="W11" s="4">
        <f>SQRT((U11^2)+(U10^2)+(U9^2)+(U8^2)+(U7^2)+(U6^2)+(U5^2)+(U4^2)+(U3^2)+(U2^2))</f>
        <v>7.4978197149692729</v>
      </c>
      <c r="X11" s="5">
        <f>V11/2</f>
        <v>705.31199970090836</v>
      </c>
      <c r="Y11" s="4">
        <f t="shared" si="7"/>
        <v>3.748909857484636</v>
      </c>
      <c r="Z11" s="5">
        <f>M11/60</f>
        <v>1.3644145268288594</v>
      </c>
      <c r="AA11" s="4">
        <f t="shared" si="12"/>
        <v>2.7148638753179646E-2</v>
      </c>
      <c r="AB11" s="3">
        <f t="shared" si="8"/>
        <v>7.3704858615064768E-4</v>
      </c>
      <c r="AC11" s="5">
        <f>(C11-$AG$6)*24</f>
        <v>25.599999999976717</v>
      </c>
      <c r="AD11" s="11">
        <f>EXP(-$AG$9*AC11)</f>
        <v>0.99992966790410687</v>
      </c>
      <c r="AE11" s="5">
        <f>Z11/AD11</f>
        <v>1.364510495711891</v>
      </c>
    </row>
    <row r="12" spans="1:33" x14ac:dyDescent="0.25">
      <c r="A12" s="13" t="s">
        <v>21</v>
      </c>
      <c r="B12" s="12">
        <v>43312.628472164353</v>
      </c>
      <c r="C12" s="6">
        <v>43313.589583275461</v>
      </c>
      <c r="D12" s="7">
        <v>40.56</v>
      </c>
      <c r="E12" s="8">
        <v>2.9</v>
      </c>
      <c r="F12" s="4">
        <f t="shared" si="2"/>
        <v>1.17624</v>
      </c>
      <c r="G12" s="5">
        <f t="shared" si="0"/>
        <v>32.68</v>
      </c>
      <c r="H12" s="4">
        <f t="shared" si="3"/>
        <v>1.2854520355174672</v>
      </c>
      <c r="I12" s="9">
        <f t="shared" si="4"/>
        <v>23.066666666592937</v>
      </c>
      <c r="J12" s="10">
        <v>1.6666666666666701E-2</v>
      </c>
      <c r="K12" s="5">
        <f>1-EXP(-$AG$3*I12)</f>
        <v>0.22925721206242822</v>
      </c>
      <c r="L12" s="4">
        <f t="shared" si="5"/>
        <v>1.6564827461211089E-4</v>
      </c>
      <c r="M12" s="5">
        <f>G12/((1+K12))</f>
        <v>26.585160273471178</v>
      </c>
      <c r="N12" s="4">
        <f t="shared" si="9"/>
        <v>1.0458908663603392</v>
      </c>
      <c r="O12" s="5">
        <f>M12*K12</f>
        <v>6.0948397265288241</v>
      </c>
      <c r="P12" s="4">
        <f t="shared" si="10"/>
        <v>0.23981846090864758</v>
      </c>
      <c r="Q12" s="5">
        <f t="shared" si="6"/>
        <v>32.68</v>
      </c>
      <c r="R12" s="5">
        <v>0.75760000000000005</v>
      </c>
      <c r="S12" s="4">
        <v>1.4142135623730951E-4</v>
      </c>
      <c r="T12" s="5">
        <f>M12/R12</f>
        <v>35.091288639745478</v>
      </c>
      <c r="U12" s="4">
        <f t="shared" si="11"/>
        <v>1.3805473072532146</v>
      </c>
      <c r="V12" s="5">
        <f>SUM($T$2:T12)</f>
        <v>1445.7152880415622</v>
      </c>
      <c r="W12" s="4">
        <f>SQRT((U12^2)+(U11^2)+(U10^2)+(U9^2)+(U8^2)+(U7^2)+(U6^2)+(U5^2)+(U4^2)+(U3^2)+(U2^2))</f>
        <v>7.6238580355188947</v>
      </c>
      <c r="X12" s="5">
        <f>V12/2</f>
        <v>722.85764402078109</v>
      </c>
      <c r="Y12" s="4">
        <f t="shared" si="7"/>
        <v>3.8119290177594474</v>
      </c>
      <c r="Z12" s="5">
        <f>M12/60</f>
        <v>0.44308600455785296</v>
      </c>
      <c r="AA12" s="4">
        <f t="shared" si="12"/>
        <v>1.7431514439338987E-2</v>
      </c>
      <c r="AB12" s="3">
        <f t="shared" si="8"/>
        <v>3.0385769564888359E-4</v>
      </c>
      <c r="AC12" s="5">
        <f>(C12-$AG$6)*24</f>
        <v>26.149998611072078</v>
      </c>
      <c r="AD12" s="11">
        <f>EXP(-$AG$9*AC12)</f>
        <v>0.99992815692108006</v>
      </c>
      <c r="AE12" s="5">
        <f>Z12/AD12</f>
        <v>0.44311783950776756</v>
      </c>
    </row>
    <row r="13" spans="1:33" x14ac:dyDescent="0.25">
      <c r="A13" s="13" t="s">
        <v>22</v>
      </c>
      <c r="B13" s="12">
        <v>43312.628472164353</v>
      </c>
      <c r="C13" s="6">
        <v>43313.61249994213</v>
      </c>
      <c r="D13" s="7">
        <v>21.53</v>
      </c>
      <c r="E13" s="8">
        <v>3.98</v>
      </c>
      <c r="F13" s="4">
        <f t="shared" si="2"/>
        <v>0.85689400000000004</v>
      </c>
      <c r="G13" s="5">
        <f t="shared" si="0"/>
        <v>13.650000000000002</v>
      </c>
      <c r="H13" s="4">
        <f t="shared" si="3"/>
        <v>1.0015556525984965</v>
      </c>
      <c r="I13" s="9">
        <f t="shared" si="4"/>
        <v>23.616666666639503</v>
      </c>
      <c r="J13" s="10">
        <v>1.6666666666666701E-2</v>
      </c>
      <c r="K13" s="5">
        <f>1-EXP(-$AG$3*I13)</f>
        <v>0.23402790742629276</v>
      </c>
      <c r="L13" s="4">
        <f t="shared" si="5"/>
        <v>1.6515730940477234E-4</v>
      </c>
      <c r="M13" s="5">
        <f>G13/((1+K13))</f>
        <v>11.061338173841342</v>
      </c>
      <c r="N13" s="4">
        <f t="shared" si="9"/>
        <v>0.81165261420976964</v>
      </c>
      <c r="O13" s="5">
        <f>M13*K13</f>
        <v>2.5886618261586598</v>
      </c>
      <c r="P13" s="4">
        <f t="shared" si="10"/>
        <v>0.18995814768446945</v>
      </c>
      <c r="Q13" s="5">
        <f t="shared" si="6"/>
        <v>13.650000000000002</v>
      </c>
      <c r="R13" s="5">
        <v>0.77970000000000006</v>
      </c>
      <c r="S13" s="4">
        <v>1.4142135623730951E-4</v>
      </c>
      <c r="T13" s="5">
        <f>M13/R13</f>
        <v>14.186659194358525</v>
      </c>
      <c r="U13" s="4">
        <f t="shared" si="11"/>
        <v>1.0409838320562268</v>
      </c>
      <c r="V13" s="5">
        <f>SUM($T$2:T13)</f>
        <v>1459.9019472359207</v>
      </c>
      <c r="W13" s="4">
        <f>SQRT((U13^2)+(U12^2)+(U11^2)+(U10^2)+(U9^2)+(U8^2)+(U7^2)+(U6^2)+(U5^2)+(U4^2)+(U3^2)+(U2^2))</f>
        <v>7.6945993192854738</v>
      </c>
      <c r="X13" s="5">
        <f>V13/2</f>
        <v>729.95097361796036</v>
      </c>
      <c r="Y13" s="4">
        <f t="shared" si="7"/>
        <v>3.8472996596427369</v>
      </c>
      <c r="Z13" s="5">
        <f>M13/60</f>
        <v>0.18435563623068904</v>
      </c>
      <c r="AA13" s="4">
        <f t="shared" si="12"/>
        <v>1.3527543570162828E-2</v>
      </c>
      <c r="AB13" s="3">
        <f t="shared" si="8"/>
        <v>1.8299443504265367E-4</v>
      </c>
      <c r="AC13" s="5">
        <f>(C13-$AG$6)*24</f>
        <v>26.699998611118644</v>
      </c>
      <c r="AD13" s="11">
        <f>EXP(-$AG$9*AC13)</f>
        <v>0.9999266459365207</v>
      </c>
      <c r="AE13" s="5">
        <f>Z13/AD13</f>
        <v>0.18436916045778889</v>
      </c>
    </row>
    <row r="14" spans="1:33" x14ac:dyDescent="0.25">
      <c r="A14" s="13" t="s">
        <v>23</v>
      </c>
      <c r="B14" s="12">
        <v>43312.628472164353</v>
      </c>
      <c r="C14" s="6">
        <v>43313.635416608799</v>
      </c>
      <c r="D14" s="7">
        <v>13.78</v>
      </c>
      <c r="E14" s="8">
        <v>4.9800000000000004</v>
      </c>
      <c r="F14" s="4">
        <f t="shared" si="2"/>
        <v>0.68624400000000008</v>
      </c>
      <c r="G14" s="5">
        <f t="shared" si="0"/>
        <v>5.8999999999999995</v>
      </c>
      <c r="H14" s="4">
        <f t="shared" si="3"/>
        <v>0.86010303193977877</v>
      </c>
      <c r="I14" s="9">
        <f t="shared" si="4"/>
        <v>24.166666666686069</v>
      </c>
      <c r="J14" s="10">
        <v>1.6666666666666701E-2</v>
      </c>
      <c r="K14" s="5">
        <f>1-EXP(-$AG$3*I14)</f>
        <v>0.23876907343923648</v>
      </c>
      <c r="L14" s="4">
        <f t="shared" si="5"/>
        <v>1.646683265096864E-4</v>
      </c>
      <c r="M14" s="5">
        <f>G14/((1+K14))</f>
        <v>4.7627924578546592</v>
      </c>
      <c r="N14" s="4">
        <f t="shared" si="9"/>
        <v>0.69432848707271222</v>
      </c>
      <c r="O14" s="5">
        <f>M14*K14</f>
        <v>1.1372075421453407</v>
      </c>
      <c r="P14" s="4">
        <f t="shared" si="10"/>
        <v>0.16578602462359149</v>
      </c>
      <c r="Q14" s="5">
        <f t="shared" si="6"/>
        <v>5.9</v>
      </c>
      <c r="R14" s="5">
        <v>0.79710000000000036</v>
      </c>
      <c r="S14" s="4">
        <v>1.4142135623730951E-4</v>
      </c>
      <c r="T14" s="5">
        <f>M14/R14</f>
        <v>5.9751504928549206</v>
      </c>
      <c r="U14" s="4">
        <f t="shared" si="11"/>
        <v>0.87106887626807084</v>
      </c>
      <c r="V14" s="5">
        <f>SUM($T$2:T14)</f>
        <v>1465.8770977287757</v>
      </c>
      <c r="W14" s="4">
        <f>SQRT((U14^2)+(U13^2)+(U12^2)+(U11^2)+(U10^2)+(U9^2)+(U8^2)+(U7^2)+(U6^2)+(U5^2)+(U4^2)+(U3^2)+(U2^2))</f>
        <v>7.7437471337558152</v>
      </c>
      <c r="X14" s="5">
        <f>V14/2</f>
        <v>732.93854886438783</v>
      </c>
      <c r="Y14" s="4">
        <f t="shared" si="7"/>
        <v>3.8718735668779076</v>
      </c>
      <c r="Z14" s="5">
        <f>M14/60</f>
        <v>7.937987429757766E-2</v>
      </c>
      <c r="AA14" s="4">
        <f t="shared" si="12"/>
        <v>1.1572141451211873E-2</v>
      </c>
      <c r="AB14" s="3">
        <f t="shared" si="8"/>
        <v>1.3391445776685603E-4</v>
      </c>
      <c r="AC14" s="5">
        <f>(C14-$AG$6)*24</f>
        <v>27.249998611165211</v>
      </c>
      <c r="AD14" s="11">
        <f>EXP(-$AG$9*AC14)</f>
        <v>0.99992513495424451</v>
      </c>
      <c r="AE14" s="5">
        <f>Z14/AD14</f>
        <v>7.9385817520438662E-2</v>
      </c>
    </row>
    <row r="15" spans="1:33" x14ac:dyDescent="0.25">
      <c r="A15" s="13" t="s">
        <v>24</v>
      </c>
      <c r="B15" s="12">
        <v>43312.628472164353</v>
      </c>
      <c r="C15" s="6">
        <v>43313.65833327546</v>
      </c>
      <c r="D15" s="7">
        <v>11.12</v>
      </c>
      <c r="E15" s="8">
        <v>5.54</v>
      </c>
      <c r="F15" s="4">
        <f t="shared" si="2"/>
        <v>0.61604799999999993</v>
      </c>
      <c r="G15" s="5">
        <f t="shared" si="0"/>
        <v>3.2399999999999993</v>
      </c>
      <c r="H15" s="4">
        <f t="shared" si="3"/>
        <v>0.8052090016387049</v>
      </c>
      <c r="I15" s="9">
        <f t="shared" si="4"/>
        <v>24.716666666558012</v>
      </c>
      <c r="J15" s="10">
        <v>1.6666666666666701E-2</v>
      </c>
      <c r="K15" s="5">
        <f>1-EXP(-$AG$3*I15)</f>
        <v>0.2434808928786919</v>
      </c>
      <c r="L15" s="4">
        <f t="shared" si="5"/>
        <v>1.6418131684407466E-4</v>
      </c>
      <c r="M15" s="5">
        <f>G15/((1+K15))</f>
        <v>2.6055888904728661</v>
      </c>
      <c r="N15" s="4">
        <f t="shared" si="9"/>
        <v>0.64754671357037985</v>
      </c>
      <c r="O15" s="5">
        <f>M15*K15</f>
        <v>0.63441110952713364</v>
      </c>
      <c r="P15" s="4">
        <f t="shared" si="10"/>
        <v>0.15766583235409806</v>
      </c>
      <c r="Q15" s="5">
        <f t="shared" si="6"/>
        <v>3.2399999999999998</v>
      </c>
      <c r="R15" s="5">
        <v>0.77899999999999991</v>
      </c>
      <c r="S15" s="4">
        <v>1.4142135623730951E-4</v>
      </c>
      <c r="T15" s="5">
        <f>M15/R15</f>
        <v>3.3447867656904577</v>
      </c>
      <c r="U15" s="4">
        <f t="shared" si="11"/>
        <v>0.83125402610954646</v>
      </c>
      <c r="V15" s="5">
        <f>SUM($T$2:T15)</f>
        <v>1469.2218844944662</v>
      </c>
      <c r="W15" s="4">
        <f>SQRT((U15^2)+(U14^2)+(U13^2)+(U12^2)+(U11^2)+(U10^2)+(U9^2)+(U8^2)+(U7^2)+(U6^2)+(U5^2)+(U4^2)+(U3^2)+(U2^2))</f>
        <v>7.7882349044873278</v>
      </c>
      <c r="X15" s="5">
        <f>V15/2</f>
        <v>734.61094224723308</v>
      </c>
      <c r="Y15" s="4">
        <f t="shared" si="7"/>
        <v>3.8941174522436635</v>
      </c>
      <c r="Z15" s="5">
        <f>M15/60</f>
        <v>4.3426481507881101E-2</v>
      </c>
      <c r="AA15" s="4">
        <f t="shared" si="12"/>
        <v>1.0792445226172998E-2</v>
      </c>
      <c r="AB15" s="3">
        <f t="shared" si="8"/>
        <v>1.1647687395994433E-4</v>
      </c>
      <c r="AC15" s="5">
        <f>(C15-$AG$6)*24</f>
        <v>27.799998611037154</v>
      </c>
      <c r="AD15" s="11">
        <f>EXP(-$AG$9*AC15)</f>
        <v>0.99992362397425205</v>
      </c>
      <c r="AE15" s="5">
        <f>Z15/AD15</f>
        <v>4.3429798503289818E-2</v>
      </c>
    </row>
    <row r="16" spans="1:33" x14ac:dyDescent="0.25">
      <c r="A16" s="13" t="s">
        <v>25</v>
      </c>
      <c r="B16" s="12">
        <v>43312.628472164353</v>
      </c>
      <c r="C16" s="6">
        <v>43313.681249942128</v>
      </c>
      <c r="D16" s="7">
        <v>10.74</v>
      </c>
      <c r="E16" s="8">
        <v>5.63</v>
      </c>
      <c r="F16" s="4">
        <f t="shared" si="2"/>
        <v>0.60466199999999992</v>
      </c>
      <c r="G16" s="5">
        <f t="shared" si="0"/>
        <v>2.8600000000000003</v>
      </c>
      <c r="H16" s="4">
        <f t="shared" si="3"/>
        <v>0.79653156388180868</v>
      </c>
      <c r="I16" s="9">
        <f t="shared" si="4"/>
        <v>25.266666666604578</v>
      </c>
      <c r="J16" s="10">
        <v>1.6666666666666701E-2</v>
      </c>
      <c r="K16" s="5">
        <f>1-EXP(-$AG$3*I16)</f>
        <v>0.24816354739522162</v>
      </c>
      <c r="L16" s="4">
        <f t="shared" si="5"/>
        <v>1.6369627136928228E-4</v>
      </c>
      <c r="M16" s="5">
        <f>G16/((1+K16))</f>
        <v>2.2913663886183042</v>
      </c>
      <c r="N16" s="4">
        <f t="shared" si="9"/>
        <v>0.6381646056168051</v>
      </c>
      <c r="O16" s="5">
        <f>M16*K16</f>
        <v>0.56863361138169632</v>
      </c>
      <c r="P16" s="4">
        <f t="shared" si="10"/>
        <v>0.15836963653842809</v>
      </c>
      <c r="Q16" s="5">
        <f t="shared" si="6"/>
        <v>2.8600000000000003</v>
      </c>
      <c r="R16" s="5">
        <v>0.75570000000000004</v>
      </c>
      <c r="S16" s="4">
        <v>1.4142135623730951E-4</v>
      </c>
      <c r="T16" s="5">
        <f>M16/R16</f>
        <v>3.0321111401591954</v>
      </c>
      <c r="U16" s="4">
        <f t="shared" si="11"/>
        <v>0.84446837327175961</v>
      </c>
      <c r="V16" s="5">
        <f>SUM($T$2:T16)</f>
        <v>1472.2539956346254</v>
      </c>
      <c r="W16" s="4">
        <f>SQRT((U16^2)+(U15^2)+(U14^2)+(U13^2)+(U12^2)+(U11^2)+(U10^2)+(U9^2)+(U8^2)+(U7^2)+(U6^2)+(U5^2)+(U4^2)+(U3^2)+(U2^2))</f>
        <v>7.8338834406015376</v>
      </c>
      <c r="X16" s="5">
        <f>V16/2</f>
        <v>736.12699781731271</v>
      </c>
      <c r="Y16" s="4">
        <f t="shared" si="7"/>
        <v>3.9169417203007688</v>
      </c>
      <c r="Z16" s="5">
        <f>M16/60</f>
        <v>3.8189439810305072E-2</v>
      </c>
      <c r="AA16" s="4">
        <f t="shared" si="12"/>
        <v>1.0636076760280085E-2</v>
      </c>
      <c r="AB16" s="3">
        <f t="shared" si="8"/>
        <v>1.1312612885057011E-4</v>
      </c>
      <c r="AC16" s="5">
        <f>(C16-$AG$6)*24</f>
        <v>28.34999861108372</v>
      </c>
      <c r="AD16" s="11">
        <f>EXP(-$AG$9*AC16)</f>
        <v>0.99992211299654243</v>
      </c>
      <c r="AE16" s="5">
        <f>Z16/AD16</f>
        <v>3.8192414503025525E-2</v>
      </c>
    </row>
    <row r="17" spans="1:31" x14ac:dyDescent="0.25">
      <c r="A17" s="13" t="s">
        <v>26</v>
      </c>
      <c r="B17" s="12">
        <v>43312.628472164353</v>
      </c>
      <c r="C17" s="6">
        <v>43313.704166608797</v>
      </c>
      <c r="D17" s="7">
        <v>10.54</v>
      </c>
      <c r="E17" s="8">
        <v>5.69</v>
      </c>
      <c r="F17" s="4">
        <f t="shared" si="2"/>
        <v>0.59972599999999998</v>
      </c>
      <c r="G17" s="5">
        <f t="shared" si="0"/>
        <v>2.6599999999999993</v>
      </c>
      <c r="H17" s="4">
        <f t="shared" si="3"/>
        <v>0.7927910652195822</v>
      </c>
      <c r="I17" s="9">
        <f t="shared" si="4"/>
        <v>25.816666666651145</v>
      </c>
      <c r="J17" s="10">
        <v>1.6666666666666701E-2</v>
      </c>
      <c r="K17" s="5">
        <f>1-EXP(-$AG$3*I17)</f>
        <v>0.25281721751054487</v>
      </c>
      <c r="L17" s="4">
        <f t="shared" si="5"/>
        <v>1.6321318109147669E-4</v>
      </c>
      <c r="M17" s="5">
        <f>G17/((1+K17))</f>
        <v>2.1232147537736168</v>
      </c>
      <c r="N17" s="4">
        <f t="shared" si="9"/>
        <v>0.63280813350896814</v>
      </c>
      <c r="O17" s="5">
        <f>M17*K17</f>
        <v>0.53678524622638246</v>
      </c>
      <c r="P17" s="4">
        <f t="shared" si="10"/>
        <v>0.15998516684088399</v>
      </c>
      <c r="Q17" s="5">
        <f t="shared" si="6"/>
        <v>2.6599999999999993</v>
      </c>
      <c r="R17" s="5">
        <v>0.79570000000000007</v>
      </c>
      <c r="S17" s="4">
        <v>1.4142135623730951E-4</v>
      </c>
      <c r="T17" s="5">
        <f>M17/R17</f>
        <v>2.6683608819575424</v>
      </c>
      <c r="U17" s="4">
        <f t="shared" si="11"/>
        <v>0.7952849642147567</v>
      </c>
      <c r="V17" s="5">
        <f>SUM($T$2:T17)</f>
        <v>1474.922356516583</v>
      </c>
      <c r="W17" s="4">
        <f t="shared" ref="W17:W21" si="13">SQRT((U17^2)+(U16^2)+(U15^2)+(U14^2)+(U13^2)+(U12^2)+(U11^2)+(U10^2)+(U9^2)+(U8^2)+(U7^2)+(U6^2)+(U5^2)+(U4^2)+(U3^2))</f>
        <v>7.8465303228401861</v>
      </c>
      <c r="X17" s="5">
        <f>V17/2</f>
        <v>737.46117825829151</v>
      </c>
      <c r="Y17" s="4">
        <f t="shared" si="7"/>
        <v>3.9232651614200935</v>
      </c>
      <c r="Z17" s="5">
        <f>M17/60</f>
        <v>3.5386912562893613E-2</v>
      </c>
      <c r="AA17" s="4">
        <f t="shared" si="12"/>
        <v>1.0546802225149469E-2</v>
      </c>
      <c r="AB17" s="3">
        <f t="shared" si="8"/>
        <v>1.112350371764178E-4</v>
      </c>
      <c r="AC17" s="5">
        <f>(C17-$AG$6)*24</f>
        <v>28.899998611130286</v>
      </c>
      <c r="AD17" s="11">
        <f>EXP(-$AG$9*AC17)</f>
        <v>0.99992060202111599</v>
      </c>
      <c r="AE17" s="5">
        <f>Z17/AD17</f>
        <v>3.5389722435328244E-2</v>
      </c>
    </row>
    <row r="18" spans="1:31" x14ac:dyDescent="0.25">
      <c r="A18" s="13" t="s">
        <v>27</v>
      </c>
      <c r="B18" s="12">
        <v>43312.628472164353</v>
      </c>
      <c r="C18" s="6">
        <v>43313.727083275466</v>
      </c>
      <c r="D18" s="7">
        <v>8.66</v>
      </c>
      <c r="E18" s="8">
        <v>6.27</v>
      </c>
      <c r="F18" s="4">
        <f t="shared" si="2"/>
        <v>0.54298199999999996</v>
      </c>
      <c r="G18" s="5">
        <f t="shared" si="0"/>
        <v>0.78000000000000025</v>
      </c>
      <c r="H18" s="4">
        <f t="shared" si="3"/>
        <v>0.75078349098791453</v>
      </c>
      <c r="I18" s="9">
        <f t="shared" si="4"/>
        <v>26.366666666697711</v>
      </c>
      <c r="J18" s="10">
        <v>1.6666666666666701E-2</v>
      </c>
      <c r="K18" s="5">
        <f>1-EXP(-$AG$3*I18)</f>
        <v>0.25744208263049029</v>
      </c>
      <c r="L18" s="4">
        <f t="shared" si="5"/>
        <v>1.6273203706080133E-4</v>
      </c>
      <c r="M18" s="5">
        <f>G18/((1+K18))</f>
        <v>0.6203068998361253</v>
      </c>
      <c r="N18" s="4">
        <f t="shared" si="9"/>
        <v>0.59707215406024639</v>
      </c>
      <c r="O18" s="5">
        <f>M18*K18</f>
        <v>0.15969310016387503</v>
      </c>
      <c r="P18" s="4">
        <f t="shared" si="10"/>
        <v>0.15371153196731846</v>
      </c>
      <c r="Q18" s="5">
        <f t="shared" si="6"/>
        <v>0.78000000000000036</v>
      </c>
      <c r="R18" s="5">
        <v>0.76370000000000005</v>
      </c>
      <c r="S18" s="4">
        <v>1.4142135623730951E-4</v>
      </c>
      <c r="T18" s="5">
        <f>M18/R18</f>
        <v>0.81223896796664297</v>
      </c>
      <c r="U18" s="4">
        <f t="shared" si="11"/>
        <v>0.78181506495967057</v>
      </c>
      <c r="V18" s="5">
        <f>SUM($T$2:T18)</f>
        <v>1475.7345954845496</v>
      </c>
      <c r="W18" s="4">
        <f t="shared" si="13"/>
        <v>7.8853834975255586</v>
      </c>
      <c r="X18" s="5">
        <f>V18/2</f>
        <v>737.86729774227479</v>
      </c>
      <c r="Y18" s="4">
        <f t="shared" si="7"/>
        <v>3.9426917487627793</v>
      </c>
      <c r="Z18" s="5">
        <f>M18/60</f>
        <v>1.0338448330602089E-2</v>
      </c>
      <c r="AA18" s="4">
        <f t="shared" si="12"/>
        <v>9.9512025676707742E-3</v>
      </c>
      <c r="AB18" s="3">
        <f t="shared" si="8"/>
        <v>9.902643254281741E-5</v>
      </c>
      <c r="AC18" s="5">
        <f>(C18-$AG$6)*24</f>
        <v>29.449998611176852</v>
      </c>
      <c r="AD18" s="11">
        <f>EXP(-$AG$9*AC18)</f>
        <v>0.99991909104797272</v>
      </c>
      <c r="AE18" s="5">
        <f>Z18/AD18</f>
        <v>1.0339284871305738E-2</v>
      </c>
    </row>
    <row r="19" spans="1:31" x14ac:dyDescent="0.25">
      <c r="A19" s="13" t="s">
        <v>28</v>
      </c>
      <c r="B19" s="12">
        <v>43312.628472164353</v>
      </c>
      <c r="C19" s="6">
        <v>43313.749999942127</v>
      </c>
      <c r="D19" s="7">
        <v>9.24</v>
      </c>
      <c r="E19" s="8">
        <v>6.07</v>
      </c>
      <c r="F19" s="4">
        <f t="shared" si="2"/>
        <v>0.56086800000000003</v>
      </c>
      <c r="G19" s="5">
        <f t="shared" si="0"/>
        <v>1.3600000000000003</v>
      </c>
      <c r="H19" s="4">
        <f t="shared" si="3"/>
        <v>0.76381889963524729</v>
      </c>
      <c r="I19" s="9">
        <f t="shared" si="4"/>
        <v>26.916666666569654</v>
      </c>
      <c r="J19" s="10">
        <v>1.6666666666666701E-2</v>
      </c>
      <c r="K19" s="5">
        <f>1-EXP(-$AG$3*I19)</f>
        <v>0.26203832104895641</v>
      </c>
      <c r="L19" s="4">
        <f t="shared" si="5"/>
        <v>1.6225283037145597E-4</v>
      </c>
      <c r="M19" s="5">
        <f>G19/((1+K19))</f>
        <v>1.0776217942967232</v>
      </c>
      <c r="N19" s="4">
        <f t="shared" si="9"/>
        <v>0.60522675984036611</v>
      </c>
      <c r="O19" s="5">
        <f>M19*K19</f>
        <v>0.28237820570327721</v>
      </c>
      <c r="P19" s="4">
        <f t="shared" si="10"/>
        <v>0.15859270038631232</v>
      </c>
      <c r="Q19" s="5">
        <f t="shared" si="6"/>
        <v>1.3600000000000003</v>
      </c>
      <c r="R19" s="5">
        <v>0.80159999999999965</v>
      </c>
      <c r="S19" s="4">
        <v>1.4142135623730951E-4</v>
      </c>
      <c r="T19" s="5">
        <f>M19/R19</f>
        <v>1.3443385657394258</v>
      </c>
      <c r="U19" s="4">
        <f t="shared" si="11"/>
        <v>0.7550234402457725</v>
      </c>
      <c r="V19" s="5">
        <f>SUM($T$2:T19)</f>
        <v>1477.078934050289</v>
      </c>
      <c r="W19" s="4">
        <f t="shared" si="13"/>
        <v>7.8954487197478924</v>
      </c>
      <c r="X19" s="5">
        <f>V19/2</f>
        <v>738.53946702514452</v>
      </c>
      <c r="Y19" s="4">
        <f t="shared" si="7"/>
        <v>3.9477243598739462</v>
      </c>
      <c r="Z19" s="5">
        <f>M19/60</f>
        <v>1.796036323827872E-2</v>
      </c>
      <c r="AA19" s="4">
        <f t="shared" si="12"/>
        <v>1.0087112664006102E-2</v>
      </c>
      <c r="AB19" s="3">
        <f t="shared" si="8"/>
        <v>1.0174984189635229E-4</v>
      </c>
      <c r="AC19" s="5">
        <f>(C19-$AG$6)*24</f>
        <v>29.999998611048795</v>
      </c>
      <c r="AD19" s="11">
        <f>EXP(-$AG$9*AC19)</f>
        <v>0.99991758007711318</v>
      </c>
      <c r="AE19" s="5">
        <f>Z19/AD19</f>
        <v>1.7961843652047428E-2</v>
      </c>
    </row>
    <row r="20" spans="1:31" x14ac:dyDescent="0.25">
      <c r="A20" s="13" t="s">
        <v>29</v>
      </c>
      <c r="B20" s="12">
        <v>43312.628472164353</v>
      </c>
      <c r="C20" s="6">
        <v>43313.772916608796</v>
      </c>
      <c r="D20" s="7">
        <v>9.3800000000000008</v>
      </c>
      <c r="E20" s="8">
        <v>6.03</v>
      </c>
      <c r="F20" s="4">
        <f t="shared" si="2"/>
        <v>0.56561400000000006</v>
      </c>
      <c r="G20" s="5">
        <f t="shared" si="0"/>
        <v>1.5000000000000009</v>
      </c>
      <c r="H20" s="4">
        <f t="shared" si="3"/>
        <v>0.76731062485280377</v>
      </c>
      <c r="I20" s="9">
        <f t="shared" si="4"/>
        <v>27.46666666661622</v>
      </c>
      <c r="J20" s="10">
        <v>1.6666666666666701E-2</v>
      </c>
      <c r="K20" s="5">
        <f>1-EXP(-$AG$3*I20)</f>
        <v>0.26660610996061429</v>
      </c>
      <c r="L20" s="4">
        <f t="shared" si="5"/>
        <v>1.6177555216086438E-4</v>
      </c>
      <c r="M20" s="5">
        <f>G20/((1+K20))</f>
        <v>1.1842671436715586</v>
      </c>
      <c r="N20" s="4">
        <f t="shared" si="9"/>
        <v>0.60580093421367964</v>
      </c>
      <c r="O20" s="5">
        <f>M20*K20</f>
        <v>0.31573285632844217</v>
      </c>
      <c r="P20" s="4">
        <f t="shared" si="10"/>
        <v>0.16151034411172543</v>
      </c>
      <c r="Q20" s="5">
        <f t="shared" si="6"/>
        <v>1.5000000000000009</v>
      </c>
      <c r="R20" s="5">
        <v>0.75019999999999953</v>
      </c>
      <c r="S20" s="4">
        <v>1.4142135623730951E-4</v>
      </c>
      <c r="T20" s="5">
        <f>M20/R20</f>
        <v>1.5786018977226863</v>
      </c>
      <c r="U20" s="4">
        <f t="shared" si="11"/>
        <v>0.80751929531996602</v>
      </c>
      <c r="V20" s="5">
        <f>SUM($T$2:T20)</f>
        <v>1478.6575359480116</v>
      </c>
      <c r="W20" s="4">
        <f t="shared" si="13"/>
        <v>7.9001212612768636</v>
      </c>
      <c r="X20" s="5">
        <f>V20/2</f>
        <v>739.32876797400581</v>
      </c>
      <c r="Y20" s="4">
        <f t="shared" si="7"/>
        <v>3.9500606306384314</v>
      </c>
      <c r="Z20" s="5">
        <f>M20/60</f>
        <v>1.9737785727859312E-2</v>
      </c>
      <c r="AA20" s="4">
        <f t="shared" si="12"/>
        <v>1.0096682236894661E-2</v>
      </c>
      <c r="AB20" s="3">
        <f t="shared" si="8"/>
        <v>1.0194299219282418E-4</v>
      </c>
      <c r="AC20" s="5">
        <f>(C20-$AG$6)*24</f>
        <v>30.549998611095361</v>
      </c>
      <c r="AD20" s="11">
        <f>EXP(-$AG$9*AC20)</f>
        <v>0.99991606910853648</v>
      </c>
      <c r="AE20" s="5">
        <f>Z20/AD20</f>
        <v>1.9739442476863388E-2</v>
      </c>
    </row>
    <row r="21" spans="1:31" x14ac:dyDescent="0.25">
      <c r="A21" s="13" t="s">
        <v>30</v>
      </c>
      <c r="B21" s="12">
        <v>43312.628472164353</v>
      </c>
      <c r="C21" s="6">
        <v>43313.795833275464</v>
      </c>
      <c r="D21" s="7">
        <v>8.18</v>
      </c>
      <c r="E21" s="8">
        <v>6.45</v>
      </c>
      <c r="F21" s="4">
        <f t="shared" si="2"/>
        <v>0.52761000000000002</v>
      </c>
      <c r="G21" s="5">
        <f t="shared" si="0"/>
        <v>0.29999999999999982</v>
      </c>
      <c r="H21" s="4">
        <f t="shared" si="3"/>
        <v>0.73974232683820385</v>
      </c>
      <c r="I21" s="9">
        <f t="shared" si="4"/>
        <v>28.016666666662786</v>
      </c>
      <c r="J21" s="10">
        <v>1.6666666666666701E-2</v>
      </c>
      <c r="K21" s="5">
        <f>1-EXP(-$AG$3*I21)</f>
        <v>0.27114562545898169</v>
      </c>
      <c r="L21" s="4">
        <f t="shared" si="5"/>
        <v>1.6130019361036276E-4</v>
      </c>
      <c r="M21" s="5">
        <f>G21/((1+K21))</f>
        <v>0.23600757772476041</v>
      </c>
      <c r="N21" s="4">
        <f t="shared" si="9"/>
        <v>0.58194933259417003</v>
      </c>
      <c r="O21" s="5">
        <f>M21*K21</f>
        <v>6.3992422275239394E-2</v>
      </c>
      <c r="P21" s="4">
        <f t="shared" si="10"/>
        <v>0.15779302036370449</v>
      </c>
      <c r="Q21" s="5">
        <f t="shared" si="6"/>
        <v>0.29999999999999982</v>
      </c>
      <c r="R21" s="5">
        <v>0.78990000000000027</v>
      </c>
      <c r="S21" s="4">
        <v>1.4142135623730951E-4</v>
      </c>
      <c r="T21" s="5">
        <f>M21/R21</f>
        <v>0.29878158972624425</v>
      </c>
      <c r="U21" s="4">
        <f t="shared" si="11"/>
        <v>0.73673798471725493</v>
      </c>
      <c r="V21" s="5">
        <f>SUM($T$2:T21)</f>
        <v>1478.956317537738</v>
      </c>
      <c r="W21" s="4">
        <f t="shared" si="13"/>
        <v>7.8647834510624186</v>
      </c>
      <c r="X21" s="5">
        <f>V21/2</f>
        <v>739.47815876886898</v>
      </c>
      <c r="Y21" s="4">
        <f t="shared" si="7"/>
        <v>3.9323917255312097</v>
      </c>
      <c r="Z21" s="5">
        <f>M21/60</f>
        <v>3.9334596287460069E-3</v>
      </c>
      <c r="AA21" s="4">
        <f t="shared" si="12"/>
        <v>9.6991555432361671E-3</v>
      </c>
      <c r="AB21" s="3">
        <f t="shared" si="8"/>
        <v>9.4073618251888872E-5</v>
      </c>
      <c r="AC21" s="5">
        <f>(C21-$AG$6)*24</f>
        <v>31.099998611141928</v>
      </c>
      <c r="AD21" s="11">
        <f>EXP(-$AG$9*AC21)</f>
        <v>0.99991455814224284</v>
      </c>
      <c r="AE21" s="5">
        <f>Z21/AD21</f>
        <v>3.9337957395620326E-3</v>
      </c>
    </row>
    <row r="22" spans="1:31" ht="15.75" thickBot="1" x14ac:dyDescent="0.3">
      <c r="A22" s="14" t="s">
        <v>10</v>
      </c>
      <c r="B22" s="12">
        <v>43312.628472164353</v>
      </c>
      <c r="C22" s="6">
        <v>43313.818749942133</v>
      </c>
      <c r="D22" s="7">
        <v>7.88</v>
      </c>
      <c r="E22" s="8">
        <v>6.58</v>
      </c>
      <c r="F22" s="4">
        <f t="shared" si="2"/>
        <v>0.51850399999999996</v>
      </c>
      <c r="G22" s="5">
        <f t="shared" si="0"/>
        <v>0</v>
      </c>
      <c r="H22" s="4">
        <f t="shared" si="3"/>
        <v>0.73327538894469924</v>
      </c>
      <c r="I22" s="9">
        <f t="shared" si="4"/>
        <v>28.566666666709352</v>
      </c>
      <c r="J22" s="10">
        <v>1.6666666666666701E-2</v>
      </c>
      <c r="K22" s="5">
        <f>1-EXP(-$AG$3*I22)</f>
        <v>0.27565704254905887</v>
      </c>
      <c r="L22" s="4">
        <f t="shared" si="5"/>
        <v>1.6082674594436846E-4</v>
      </c>
      <c r="M22" s="5">
        <f>G22/((1+K22))</f>
        <v>0</v>
      </c>
      <c r="N22" s="4" t="e">
        <f t="shared" si="9"/>
        <v>#DIV/0!</v>
      </c>
      <c r="O22" s="5">
        <f>M22*K22</f>
        <v>0</v>
      </c>
      <c r="P22" s="4" t="e">
        <f t="shared" si="10"/>
        <v>#DIV/0!</v>
      </c>
      <c r="Q22" s="5">
        <f t="shared" si="6"/>
        <v>0</v>
      </c>
      <c r="R22" s="5"/>
      <c r="S22" s="4">
        <v>1E-4</v>
      </c>
      <c r="T22" s="5"/>
      <c r="U22" s="4" t="e">
        <f t="shared" si="11"/>
        <v>#DIV/0!</v>
      </c>
      <c r="V22" s="5"/>
      <c r="W22" s="4"/>
      <c r="X22" s="5"/>
      <c r="Y22" s="4"/>
      <c r="Z22" s="5"/>
      <c r="AA22" s="4"/>
      <c r="AB22" s="4"/>
      <c r="AC22" s="5"/>
      <c r="AD22" s="5"/>
      <c r="AE22" s="5"/>
    </row>
    <row r="23" spans="1:31" x14ac:dyDescent="0.25">
      <c r="F23" s="3"/>
      <c r="L23" s="3"/>
    </row>
    <row r="24" spans="1:31" x14ac:dyDescent="0.25">
      <c r="Y24" s="2" t="s">
        <v>54</v>
      </c>
      <c r="Z24">
        <f>SUM(Z2:Z21)</f>
        <v>19.152300340839414</v>
      </c>
      <c r="AA24" s="2">
        <f>SQRT(SUM(AB2:AB21))</f>
        <v>0.10434774002076598</v>
      </c>
      <c r="AE24">
        <f>SUM(AE2:AE21)</f>
        <v>19.153593461100776</v>
      </c>
    </row>
    <row r="27" spans="1:31" x14ac:dyDescent="0.25">
      <c r="G2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CT19E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2021-06-15T14:26:38Z</dcterms:modified>
</cp:coreProperties>
</file>